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HV21VAFDIHy/guVBubMItRirvM1Eu4RUf/Iex1wHT0VgT+p4xhY/X+r1VlsHXjiAunF/O2ZjBB15OI5PQNwaTA==" workbookSaltValue="+6J3HWP9rAiytyejoGKUNA==" workbookSpinCount="100000" lockStructure="1"/>
  <bookViews>
    <workbookView xWindow="0" yWindow="0" windowWidth="23040" windowHeight="9192" tabRatio="874"/>
  </bookViews>
  <sheets>
    <sheet name="Slim Line" sheetId="1" r:id="rId1"/>
  </sheets>
  <definedNames>
    <definedName name="_xlnm.Print_Area" localSheetId="0">'Slim Line'!$B$3:$L$37</definedName>
  </definedNames>
  <calcPr calcId="162913"/>
</workbook>
</file>

<file path=xl/calcChain.xml><?xml version="1.0" encoding="utf-8"?>
<calcChain xmlns="http://schemas.openxmlformats.org/spreadsheetml/2006/main">
  <c r="K36" i="1" l="1"/>
  <c r="M13" i="1" l="1"/>
  <c r="H15" i="1"/>
  <c r="J15" i="1" s="1"/>
  <c r="H14" i="1"/>
  <c r="J14" i="1" s="1"/>
  <c r="H13" i="1"/>
  <c r="J13" i="1" s="1"/>
  <c r="AC35" i="1"/>
  <c r="AC34" i="1"/>
  <c r="L8" i="1" l="1"/>
  <c r="K41" i="1"/>
  <c r="E37" i="1" l="1"/>
  <c r="E39" i="1"/>
  <c r="E38" i="1"/>
  <c r="E40" i="1"/>
  <c r="E36" i="1"/>
  <c r="AD34" i="1"/>
  <c r="AD35" i="1"/>
  <c r="K26" i="1"/>
  <c r="L7" i="1"/>
  <c r="K23" i="1"/>
  <c r="K22" i="1"/>
  <c r="E14" i="1"/>
  <c r="F39" i="1" s="1"/>
  <c r="K21" i="1"/>
  <c r="K20" i="1"/>
  <c r="K31" i="1"/>
  <c r="K30" i="1"/>
  <c r="J42" i="1"/>
  <c r="K11" i="1"/>
  <c r="H12" i="1"/>
  <c r="H16" i="1"/>
  <c r="J16" i="1"/>
  <c r="L12" i="1"/>
  <c r="J12" i="1"/>
  <c r="F37" i="1"/>
  <c r="C32" i="1"/>
  <c r="E15" i="1"/>
  <c r="G40" i="1"/>
  <c r="G39" i="1"/>
  <c r="G38" i="1"/>
  <c r="G37" i="1"/>
  <c r="K40" i="1"/>
  <c r="F38" i="1"/>
  <c r="K32" i="1"/>
  <c r="K12" i="1"/>
  <c r="K37" i="1"/>
  <c r="D36" i="1" l="1"/>
  <c r="G36" i="1" s="1"/>
  <c r="K33" i="1"/>
  <c r="K15" i="1"/>
  <c r="K14" i="1"/>
  <c r="K13" i="1"/>
  <c r="F36" i="1"/>
  <c r="L16" i="1"/>
  <c r="K38" i="1" s="1"/>
  <c r="K19" i="1"/>
  <c r="L15" i="1"/>
  <c r="L13" i="1"/>
  <c r="K34" i="1" s="1"/>
  <c r="N21" i="1"/>
  <c r="L14" i="1"/>
  <c r="F40" i="1"/>
  <c r="K39" i="1"/>
  <c r="N22" i="1" l="1"/>
  <c r="N23" i="1"/>
  <c r="K35" i="1"/>
  <c r="N13" i="1"/>
  <c r="N20" i="1"/>
  <c r="C44" i="1"/>
  <c r="C42" i="1"/>
  <c r="D42" i="1" s="1"/>
  <c r="N14" i="1" l="1"/>
  <c r="K24" i="1"/>
  <c r="N19" i="1"/>
  <c r="N24" i="1" s="1"/>
  <c r="K25" i="1"/>
  <c r="N15" i="1"/>
  <c r="K16" i="1"/>
  <c r="N16" i="1" s="1"/>
  <c r="K42" i="1" l="1"/>
  <c r="N17" i="1"/>
  <c r="N26" i="1" s="1"/>
  <c r="K27" i="1" s="1"/>
  <c r="F47" i="1" l="1"/>
  <c r="K28" i="1"/>
  <c r="K29" i="1"/>
</calcChain>
</file>

<file path=xl/sharedStrings.xml><?xml version="1.0" encoding="utf-8"?>
<sst xmlns="http://schemas.openxmlformats.org/spreadsheetml/2006/main" count="199" uniqueCount="168">
  <si>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</si>
  <si>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</si>
  <si>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</si>
  <si>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</si>
  <si>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</si>
  <si>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</si>
  <si>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</si>
  <si>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</si>
  <si>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</si>
  <si>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</si>
  <si>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</si>
  <si>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 xml:space="preserve"> </t>
  </si>
  <si>
    <t>Ширина проёма, перекрываемого дверями</t>
  </si>
  <si>
    <t>Количество средних рамок для одной двери</t>
  </si>
  <si>
    <t>РАСЧЁТ ДВЕРЕЙ ARISTO SlimLine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</si>
  <si>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</si>
  <si>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</si>
  <si>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</si>
  <si>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</si>
  <si>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</si>
  <si>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</si>
  <si>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</si>
  <si>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</si>
  <si>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</si>
  <si>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</si>
  <si>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</si>
  <si>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</si>
  <si>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</si>
  <si>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</si>
  <si>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</si>
  <si>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ЛДСП, 10 мм</t>
  </si>
  <si>
    <t>ЛДСП, 8 мм</t>
  </si>
  <si>
    <t>Стекло, зеркало 4 мм</t>
  </si>
  <si>
    <t>Саморез сборочный 6*30мм (для средних разделительных рамок)</t>
  </si>
  <si>
    <t xml:space="preserve">Направляющая верхняя </t>
  </si>
  <si>
    <t xml:space="preserve">Направляющая нижняя </t>
  </si>
  <si>
    <t xml:space="preserve">Комплект колес 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</si>
  <si>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</si>
  <si>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</si>
  <si>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</si>
  <si>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</si>
  <si>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</si>
  <si>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</si>
  <si>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</si>
  <si>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</si>
  <si>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</si>
  <si>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</si>
  <si>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Прищепка для шлегеля 9*5мм</t>
  </si>
  <si>
    <t>Замок универсальный</t>
  </si>
  <si>
    <t>Шлегель бесклеевой в паз вертикального профиля</t>
  </si>
  <si>
    <t>Шлегель на боковую поверхность двери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</si>
  <si>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</si>
  <si>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</si>
  <si>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</si>
  <si>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</si>
  <si>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Вес одной двери:</t>
  </si>
  <si>
    <t>Кронштейн внешний</t>
  </si>
  <si>
    <t>Кронштейн внутренний</t>
  </si>
  <si>
    <t>** в расчетах веса двери не учитывается уклон пола помещения</t>
  </si>
  <si>
    <t>Доводчик универсальный**</t>
  </si>
  <si>
    <t>Саморез 3,9*9,5 мм с полукруглой головкой</t>
  </si>
  <si>
    <t>Замок универсальный***</t>
  </si>
  <si>
    <t>Стопор</t>
  </si>
  <si>
    <t>Стопор верхний</t>
  </si>
  <si>
    <t>Стопор нижний</t>
  </si>
  <si>
    <t>Направляющая нижняя врезная</t>
  </si>
  <si>
    <t>Врезная нижняя направляющая</t>
  </si>
  <si>
    <t>AV0650.VP540</t>
  </si>
  <si>
    <t>AV0588.VP540</t>
  </si>
  <si>
    <t>AV0590.VP540</t>
  </si>
  <si>
    <t>AV0700.VP540</t>
  </si>
  <si>
    <t>Рамка средняя</t>
  </si>
  <si>
    <t>плоская</t>
  </si>
  <si>
    <t>AV0589.VP540</t>
  </si>
  <si>
    <t>AS0504.VP540</t>
  </si>
  <si>
    <t>AS0690.VP540</t>
  </si>
  <si>
    <t>AV0160.VS000</t>
  </si>
  <si>
    <t>AA0098.VM100</t>
  </si>
  <si>
    <t>AA0084.VM100</t>
  </si>
  <si>
    <t>AV0064.VM100</t>
  </si>
  <si>
    <t>AA0230.VR000</t>
  </si>
  <si>
    <t>AA0250.VR000</t>
  </si>
  <si>
    <t>AA0270.VR000</t>
  </si>
  <si>
    <t>AS0001.VP000</t>
  </si>
  <si>
    <t>AS0101.VP000</t>
  </si>
  <si>
    <t>AS0053.VP000</t>
  </si>
  <si>
    <t>AA0956.VM150</t>
  </si>
  <si>
    <t>AA0040.VP000.IN0EP.CO</t>
  </si>
  <si>
    <t>AA0056.VM150</t>
  </si>
  <si>
    <t>AA0100.VM100</t>
  </si>
  <si>
    <t>AA0075.VP000</t>
  </si>
  <si>
    <t>AS0812.VP000</t>
  </si>
  <si>
    <t>Система Slim Line Декор</t>
  </si>
  <si>
    <t>Тип средней рамки</t>
  </si>
  <si>
    <t>фигурная</t>
  </si>
  <si>
    <t>Рамка узкая</t>
  </si>
  <si>
    <t>Рамка широкая</t>
  </si>
  <si>
    <t>Профиль вертикальный декор</t>
  </si>
  <si>
    <t>Рамка узкая декор</t>
  </si>
  <si>
    <t>Рамка широкая декор</t>
  </si>
  <si>
    <t>AV0696.VP540</t>
  </si>
  <si>
    <t>AV0699.VP540</t>
  </si>
  <si>
    <t>AV0698.VP540</t>
  </si>
  <si>
    <t>Рамка средняя декор</t>
  </si>
  <si>
    <t>Рамка средняя плоская</t>
  </si>
  <si>
    <t>Видимый верхний трек</t>
  </si>
  <si>
    <t>Скрытый верхний трек, корпус</t>
  </si>
  <si>
    <t>Скрытый верхний трек, проем</t>
  </si>
  <si>
    <t xml:space="preserve">* для варианта со скрытой верхней направляющей в корпус расчет по внутреннему проёму шкафа, зависит от наличия боковин и их толщины </t>
  </si>
  <si>
    <t>*** для варианта со скрытой верхней направляющей в корпус замок использовать совместно с доводчиками</t>
  </si>
  <si>
    <t>NA3995.VP000</t>
  </si>
  <si>
    <t>Выберите вариант установки дверей*</t>
  </si>
  <si>
    <t>Высота проёма**</t>
  </si>
  <si>
    <t>* Толщина деталей корпуса шкафа 16мм</t>
  </si>
  <si>
    <r>
      <t xml:space="preserve">** 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 для варианта скрытого верхнего трека в корпус</t>
    </r>
  </si>
  <si>
    <t>Цвет кристалла</t>
  </si>
  <si>
    <t>прозрачный/белое основание</t>
  </si>
  <si>
    <t>темно-синий/белое основание</t>
  </si>
  <si>
    <t>черный/белое основание</t>
  </si>
  <si>
    <t>прозрачный/желтое основание</t>
  </si>
  <si>
    <t>черный/черное основание</t>
  </si>
  <si>
    <t>AV0065.AM030.00AEP.CA</t>
  </si>
  <si>
    <t>AV0065.AM030.DBAEP.CA</t>
  </si>
  <si>
    <t>AV0065.AM030.BKAEP.CA</t>
  </si>
  <si>
    <t>AV0066.AM030.00AEP.CA</t>
  </si>
  <si>
    <t>V0067.AM030.BKAEP.CA</t>
  </si>
  <si>
    <t>Длина стразовой цепи</t>
  </si>
  <si>
    <t>Количество перекрытий</t>
  </si>
  <si>
    <t>Количество доводчиков на внутренних дверях, штук</t>
  </si>
  <si>
    <t>Количество доводчиков на внешних дверях, штук</t>
  </si>
  <si>
    <t>Варианты установки дверей</t>
  </si>
  <si>
    <t>NA0166.VR000</t>
  </si>
  <si>
    <t>NA0167.VR000</t>
  </si>
  <si>
    <t>Комплект роликов, верхние</t>
  </si>
  <si>
    <t>NA0169.VR000</t>
  </si>
  <si>
    <t>Уплотнитель П-образный низкий, 8 мм</t>
  </si>
  <si>
    <t>Уплотнитель П-образный низкий, 4 мм</t>
  </si>
  <si>
    <t>Уплотнитель П-образный, 4 мм, с шипами</t>
  </si>
  <si>
    <t>Уплотнитель П-образный, 8 мм</t>
  </si>
  <si>
    <t>AV0068.VM100</t>
  </si>
  <si>
    <t>AS0713.VP540</t>
  </si>
  <si>
    <t>Уплотнитель полиуретановый</t>
  </si>
  <si>
    <t>Уплотнитель полиуретановый на боковую поверхность двери</t>
  </si>
  <si>
    <t>AA0104.VM100</t>
  </si>
  <si>
    <t>Цвет профиля</t>
  </si>
  <si>
    <t>Общее количество накладных ручек</t>
  </si>
  <si>
    <t>Накладная ручка</t>
  </si>
  <si>
    <t>АА0037.VP000</t>
  </si>
  <si>
    <t>Шампань матовая</t>
  </si>
  <si>
    <t>Серебро матовое</t>
  </si>
  <si>
    <t>Белый глянец</t>
  </si>
  <si>
    <t>Черный матовый</t>
  </si>
  <si>
    <t>Расположение дверей</t>
  </si>
  <si>
    <t>Slim</t>
  </si>
  <si>
    <t>Slim Max</t>
  </si>
  <si>
    <t>Тип верхней/нижней рамки</t>
  </si>
  <si>
    <t>Профиль вертикальный Slim</t>
  </si>
  <si>
    <t>Профиль вертикальный Slim Max</t>
  </si>
  <si>
    <t>Рамка узкая плоская</t>
  </si>
  <si>
    <t>Рамка широкая плоская</t>
  </si>
  <si>
    <t>AV0793.VP540</t>
  </si>
  <si>
    <t>AV0734.VP540</t>
  </si>
  <si>
    <t>AV0735.VP540</t>
  </si>
  <si>
    <t>AV0697.VP540</t>
  </si>
  <si>
    <t>дверь</t>
  </si>
  <si>
    <t>рамка</t>
  </si>
  <si>
    <t>полотно</t>
  </si>
  <si>
    <t>Выберите вертикальный профиль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</si>
</sst>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шт.&quot;"/>
    <numFmt numFmtId="169" formatCode="#,##0&quot; комп.&quot;"/>
    <numFmt numFmtId="170" formatCode="#,##0&quot; кг.&quot;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right" vertical="center"/>
    </xf>
    <xf numFmtId="168" fontId="14" fillId="0" borderId="0" xfId="0" applyNumberFormat="1" applyFont="1" applyFill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167" fontId="9" fillId="0" borderId="2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29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8" fontId="1" fillId="0" borderId="10" xfId="0" applyNumberFormat="1" applyFont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vertical="center"/>
    </xf>
    <xf numFmtId="164" fontId="1" fillId="0" borderId="24" xfId="0" applyNumberFormat="1" applyFont="1" applyBorder="1" applyAlignment="1" applyProtection="1">
      <alignment horizontal="center" vertical="center"/>
    </xf>
    <xf numFmtId="168" fontId="1" fillId="0" borderId="7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0" fillId="0" borderId="2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70" fontId="1" fillId="0" borderId="29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wrapText="1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9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17" fillId="0" borderId="1" xfId="0" applyFont="1" applyBorder="1" applyAlignment="1" applyProtection="1">
      <alignment horizontal="center" vertical="center"/>
    </xf>
    <xf numFmtId="0" fontId="19" fillId="0" borderId="29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167" fontId="9" fillId="0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0" fillId="3" borderId="1" xfId="0" applyNumberFormat="1" applyFont="1" applyFill="1" applyBorder="1" applyAlignment="1" applyProtection="1">
      <alignment horizontal="center" vertical="center"/>
      <protection locked="0"/>
    </xf>
    <xf numFmtId="164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  <xf numFmtId="169" fontId="2" fillId="0" borderId="2" xfId="0" applyNumberFormat="1" applyFont="1" applyBorder="1" applyAlignment="1" applyProtection="1">
      <alignment horizontal="center" vertical="center" wrapText="1"/>
    </xf>
    <xf numFmtId="169" fontId="2" fillId="0" borderId="12" xfId="0" applyNumberFormat="1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8" fillId="0" borderId="11" xfId="0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12" fillId="0" borderId="10" xfId="0" applyNumberFormat="1" applyFont="1" applyBorder="1" applyAlignment="1" applyProtection="1">
      <alignment horizontal="center" vertical="center" wrapText="1"/>
    </xf>
    <xf numFmtId="168" fontId="2" fillId="0" borderId="2" xfId="0" applyNumberFormat="1" applyFont="1" applyBorder="1" applyAlignment="1" applyProtection="1">
      <alignment horizontal="center" vertical="center" wrapText="1"/>
    </xf>
    <xf numFmtId="168" fontId="2" fillId="0" borderId="12" xfId="0" applyNumberFormat="1" applyFont="1" applyBorder="1" applyAlignment="1" applyProtection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/>
    </xf>
    <xf numFmtId="168" fontId="2" fillId="0" borderId="10" xfId="0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center" vertical="center"/>
    </xf>
    <xf numFmtId="165" fontId="2" fillId="0" borderId="12" xfId="0" applyNumberFormat="1" applyFont="1" applyBorder="1" applyAlignment="1" applyProtection="1">
      <alignment horizontal="center" vertical="center"/>
    </xf>
    <xf numFmtId="169" fontId="2" fillId="0" borderId="1" xfId="0" applyNumberFormat="1" applyFont="1" applyBorder="1" applyAlignment="1" applyProtection="1">
      <alignment horizontal="center" vertical="center"/>
    </xf>
    <xf numFmtId="169" fontId="2" fillId="0" borderId="10" xfId="0" applyNumberFormat="1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top" wrapText="1"/>
    </xf>
    <xf numFmtId="0" fontId="19" fillId="0" borderId="34" xfId="0" applyFont="1" applyBorder="1" applyAlignment="1" applyProtection="1">
      <alignment horizontal="center"/>
    </xf>
    <xf numFmtId="0" fontId="19" fillId="0" borderId="35" xfId="0" applyFont="1" applyBorder="1" applyAlignment="1" applyProtection="1">
      <alignment horizontal="center"/>
    </xf>
    <xf numFmtId="0" fontId="19" fillId="0" borderId="36" xfId="0" applyFont="1" applyBorder="1" applyAlignment="1" applyProtection="1">
      <alignment horizontal="center"/>
    </xf>
    <xf numFmtId="168" fontId="2" fillId="0" borderId="1" xfId="0" applyNumberFormat="1" applyFont="1" applyBorder="1" applyAlignment="1" applyProtection="1">
      <alignment horizontal="center" vertical="center" wrapText="1"/>
    </xf>
    <xf numFmtId="168" fontId="12" fillId="0" borderId="10" xfId="0" applyNumberFormat="1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left"/>
    </xf>
    <xf numFmtId="0" fontId="6" fillId="0" borderId="23" xfId="0" applyFont="1" applyBorder="1" applyAlignment="1" applyProtection="1">
      <alignment horizontal="left"/>
    </xf>
    <xf numFmtId="165" fontId="2" fillId="0" borderId="24" xfId="0" applyNumberFormat="1" applyFont="1" applyBorder="1" applyAlignment="1" applyProtection="1">
      <alignment horizontal="center"/>
    </xf>
    <xf numFmtId="165" fontId="2" fillId="0" borderId="25" xfId="0" applyNumberFormat="1" applyFont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9" fillId="0" borderId="34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31" xfId="0" applyFont="1" applyBorder="1" applyProtection="1"/>
    <xf numFmtId="0" fontId="1" fillId="0" borderId="22" xfId="0" applyFont="1" applyBorder="1" applyProtection="1"/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12" xfId="0" applyNumberFormat="1" applyFont="1" applyFill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165" fontId="2" fillId="0" borderId="10" xfId="0" applyNumberFormat="1" applyFont="1" applyBorder="1" applyAlignment="1" applyProtection="1">
      <alignment horizontal="center" vertical="center" wrapText="1"/>
    </xf>
    <xf numFmtId="168" fontId="2" fillId="0" borderId="1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234100</xdr:colOff>
      <xdr:row>57</xdr:row>
      <xdr:rowOff>24493</xdr:rowOff>
    </xdr:from>
    <xdr:to>
      <xdr:col>1</xdr:col>
      <xdr:colOff>2758614</xdr:colOff>
      <xdr:row>92</xdr:row>
      <xdr:rowOff>122464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06D9B0E-453B-4E39-AABF-F4DBF085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29" y="14121493"/>
          <a:ext cx="2524514" cy="837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753834</xdr:colOff>
      <xdr:row>40</xdr:row>
      <xdr:rowOff>130627</xdr:rowOff>
    </xdr:from>
    <xdr:to>
      <xdr:col>1</xdr:col>
      <xdr:colOff>2090057</xdr:colOff>
      <xdr:row>51</xdr:row>
      <xdr:rowOff>48081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663" y="10265227"/>
          <a:ext cx="1336223" cy="2464711"/>
        </a:xfrm>
        <a:prstGeom prst="rect">
          <a:avLst/>
        </a:prstGeom>
      </xdr:spPr>
    </xdr:pic>
    <xdr:clientData/>
  </xdr:twoCellAnchor>
  <xdr:twoCellAnchor editAs="oneCell">
    <xdr:from>
      <xdr:col>2</xdr:col>
      <xdr:colOff>1219199</xdr:colOff>
      <xdr:row>58</xdr:row>
      <xdr:rowOff>76199</xdr:rowOff>
    </xdr:from>
    <xdr:to>
      <xdr:col>7</xdr:col>
      <xdr:colOff>981967</xdr:colOff>
      <xdr:row>92</xdr:row>
      <xdr:rowOff>155106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0A9A71E-C032-4681-B3A0-3F3C87AF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13" y="14499770"/>
          <a:ext cx="5815225" cy="812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4060372</xdr:colOff>
      <xdr:row>58</xdr:row>
      <xdr:rowOff>283032</xdr:rowOff>
    </xdr:from>
    <xdr:to>
      <xdr:col>11</xdr:col>
      <xdr:colOff>598714</xdr:colOff>
      <xdr:row>93</xdr:row>
      <xdr:rowOff>18015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7EC580A-0AAE-4697-89E1-B9277F2B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2343" y="14608632"/>
          <a:ext cx="5334000" cy="8008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G59"/>
  <sheetViews>
    <sheetView tabSelected="1" zoomScale="70" zoomScaleNormal="70" workbookViewId="0">
      <selection activeCell="D7" sqref="D7:F7"/>
    </sheetView>
  </sheetViews>
  <sheetFormatPr defaultColWidth="9.109375" defaultRowHeight="18" x14ac:dyDescent="0.35"/>
  <cols>
    <col min="1" max="1" width="3" style="23" customWidth="1"/>
    <col min="2" max="2" width="43.44140625" style="23" customWidth="1"/>
    <col min="3" max="3" width="41.6640625" style="23" customWidth="1"/>
    <col min="4" max="6" width="14.6640625" style="22" customWidth="1"/>
    <col min="7" max="7" width="2.6640625" style="23" customWidth="1"/>
    <col min="8" max="8" width="68.77734375" style="23" customWidth="1"/>
    <col min="9" max="9" width="22.6640625" style="23" customWidth="1"/>
    <col min="10" max="10" width="20.109375" style="23" customWidth="1"/>
    <col min="11" max="11" width="16.6640625" style="23" customWidth="1"/>
    <col min="12" max="12" width="13.44140625" style="23" customWidth="1"/>
    <col min="13" max="13" width="15.109375" style="23" hidden="1" customWidth="1"/>
    <col min="14" max="14" width="10" style="23" hidden="1" customWidth="1"/>
    <col min="15" max="19" width="9.109375" style="23" hidden="1" customWidth="1"/>
    <col min="20" max="20" width="18.109375" style="23" hidden="1" customWidth="1"/>
    <col min="21" max="21" width="25.88671875" style="23" hidden="1" customWidth="1"/>
    <col min="22" max="22" width="29.5546875" style="23" hidden="1" customWidth="1"/>
    <col min="23" max="26" width="9.109375" style="23" hidden="1" customWidth="1"/>
    <col min="27" max="27" width="22" style="23" hidden="1" customWidth="1"/>
    <col min="28" max="28" width="19.77734375" style="23" hidden="1" customWidth="1"/>
    <col min="29" max="32" width="9.109375" style="23" hidden="1" customWidth="1"/>
    <col min="33" max="33" width="14.77734375" style="23" hidden="1" customWidth="1"/>
    <col min="34" max="34" width="9.109375" style="23" customWidth="1"/>
    <col min="35" max="16384" width="9.109375" style="23"/>
  </cols>
  <sheetData>
    <row r="1" spans="2:33" x14ac:dyDescent="0.35">
      <c r="B1" s="21"/>
      <c r="C1" s="21"/>
      <c r="U1" s="25" t="s">
        <v>35</v>
      </c>
      <c r="V1" s="24" t="s">
        <v>74</v>
      </c>
    </row>
    <row r="2" spans="2:33" s="24" customFormat="1" ht="27.6" customHeight="1" x14ac:dyDescent="0.3">
      <c r="B2" s="79" t="s">
        <v>14</v>
      </c>
      <c r="C2" s="79"/>
      <c r="D2" s="79"/>
      <c r="E2" s="79"/>
      <c r="F2" s="79"/>
      <c r="G2" s="79"/>
      <c r="H2" s="79"/>
      <c r="I2" s="79"/>
      <c r="J2" s="79"/>
      <c r="K2" s="79"/>
      <c r="L2" s="79"/>
      <c r="U2" s="25" t="s">
        <v>65</v>
      </c>
      <c r="V2" s="24" t="s">
        <v>75</v>
      </c>
    </row>
    <row r="3" spans="2:33" s="25" customFormat="1" ht="26.1" customHeight="1" x14ac:dyDescent="0.3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AA3" s="25" t="s">
        <v>105</v>
      </c>
    </row>
    <row r="4" spans="2:33" s="25" customFormat="1" ht="20.100000000000001" customHeight="1" x14ac:dyDescent="0.35">
      <c r="B4" s="26"/>
      <c r="C4" s="26"/>
      <c r="D4" s="26"/>
      <c r="E4" s="26"/>
      <c r="F4" s="26"/>
      <c r="H4" s="27"/>
      <c r="I4" s="27"/>
      <c r="J4" s="27"/>
      <c r="K4" s="27"/>
      <c r="L4" s="27"/>
      <c r="U4" s="28" t="s">
        <v>15</v>
      </c>
      <c r="AA4" s="25" t="s">
        <v>106</v>
      </c>
    </row>
    <row r="5" spans="2:33" s="25" customFormat="1" ht="20.100000000000001" customHeight="1" x14ac:dyDescent="0.3">
      <c r="B5" s="98" t="s">
        <v>10</v>
      </c>
      <c r="C5" s="98"/>
      <c r="D5" s="98"/>
      <c r="E5" s="98"/>
      <c r="F5" s="68"/>
      <c r="H5" s="98" t="s">
        <v>9</v>
      </c>
      <c r="I5" s="98"/>
      <c r="J5" s="98"/>
      <c r="K5" s="98"/>
      <c r="L5" s="98"/>
      <c r="U5" s="28" t="s">
        <v>16</v>
      </c>
      <c r="AA5" s="25" t="s">
        <v>107</v>
      </c>
    </row>
    <row r="6" spans="2:33" s="24" customFormat="1" ht="20.100000000000001" customHeight="1" thickBot="1" x14ac:dyDescent="0.35">
      <c r="B6" s="29"/>
      <c r="C6" s="29"/>
      <c r="D6" s="29"/>
      <c r="E6" s="29"/>
      <c r="F6" s="29"/>
      <c r="G6" s="25"/>
      <c r="H6" s="29"/>
      <c r="I6" s="29"/>
      <c r="J6" s="29"/>
      <c r="K6" s="29"/>
      <c r="L6" s="29"/>
      <c r="U6" s="28" t="s">
        <v>17</v>
      </c>
    </row>
    <row r="7" spans="2:33" s="24" customFormat="1" ht="20.100000000000001" customHeight="1" x14ac:dyDescent="0.3">
      <c r="B7" s="88" t="s">
        <v>111</v>
      </c>
      <c r="C7" s="89"/>
      <c r="D7" s="90" t="s">
        <v>107</v>
      </c>
      <c r="E7" s="90"/>
      <c r="F7" s="91"/>
      <c r="H7" s="99" t="s">
        <v>6</v>
      </c>
      <c r="I7" s="100"/>
      <c r="J7" s="101"/>
      <c r="K7" s="30" t="s">
        <v>4</v>
      </c>
      <c r="L7" s="1">
        <f>IF(AND(D7=AA3,E24=U38),E10-45,IF(AND(D7=AA3,E24=U37),E10-39,
IF(AND(D7=AA4,E24=U38),E10+6,IF(AND(D7=AA4,E24=U37),E10+12,
IF(AND(D7=AA5,E24=U38),E10-34,IF(AND(D7=AA5,E24=U37),E10-28))))))</f>
        <v>2566</v>
      </c>
      <c r="U7" s="28" t="s">
        <v>18</v>
      </c>
    </row>
    <row r="8" spans="2:33" s="24" customFormat="1" ht="20.100000000000001" customHeight="1" thickBot="1" x14ac:dyDescent="0.35">
      <c r="B8" s="119" t="s">
        <v>167</v>
      </c>
      <c r="C8" s="120"/>
      <c r="D8" s="121" t="s">
        <v>153</v>
      </c>
      <c r="E8" s="121"/>
      <c r="F8" s="122"/>
      <c r="H8" s="102"/>
      <c r="I8" s="103"/>
      <c r="J8" s="104"/>
      <c r="K8" s="31" t="s">
        <v>5</v>
      </c>
      <c r="L8" s="2">
        <f>IF(D8=AB34,AC34,AC35)</f>
        <v>1000</v>
      </c>
      <c r="U8" s="28" t="s">
        <v>19</v>
      </c>
    </row>
    <row r="9" spans="2:33" s="24" customFormat="1" ht="20.100000000000001" customHeight="1" thickBot="1" x14ac:dyDescent="0.35">
      <c r="H9" s="32"/>
      <c r="I9" s="32"/>
      <c r="J9" s="32"/>
      <c r="K9" s="33"/>
      <c r="L9" s="3"/>
    </row>
    <row r="10" spans="2:33" s="24" customFormat="1" ht="20.100000000000001" customHeight="1" x14ac:dyDescent="0.3">
      <c r="B10" s="148" t="s">
        <v>112</v>
      </c>
      <c r="C10" s="149"/>
      <c r="D10" s="149"/>
      <c r="E10" s="150">
        <v>2600</v>
      </c>
      <c r="F10" s="151"/>
      <c r="H10" s="108" t="s">
        <v>1</v>
      </c>
      <c r="I10" s="109"/>
      <c r="J10" s="34" t="s">
        <v>20</v>
      </c>
      <c r="K10" s="30" t="s">
        <v>2</v>
      </c>
      <c r="L10" s="35" t="s">
        <v>3</v>
      </c>
      <c r="M10" s="64"/>
    </row>
    <row r="11" spans="2:33" s="24" customFormat="1" ht="20.100000000000001" customHeight="1" x14ac:dyDescent="0.35">
      <c r="B11" s="85" t="s">
        <v>12</v>
      </c>
      <c r="C11" s="86"/>
      <c r="D11" s="86"/>
      <c r="E11" s="92">
        <v>2000</v>
      </c>
      <c r="F11" s="93"/>
      <c r="H11" s="154" t="s">
        <v>34</v>
      </c>
      <c r="I11" s="155"/>
      <c r="J11" s="36" t="s">
        <v>140</v>
      </c>
      <c r="K11" s="9">
        <f>IF(D7=AA4,E11-2-32,E11-2)</f>
        <v>1998</v>
      </c>
      <c r="L11" s="4">
        <v>1</v>
      </c>
      <c r="M11" s="23"/>
    </row>
    <row r="12" spans="2:33" s="24" customFormat="1" ht="20.100000000000001" customHeight="1" x14ac:dyDescent="0.35">
      <c r="B12" s="105" t="s">
        <v>152</v>
      </c>
      <c r="C12" s="106"/>
      <c r="D12" s="107"/>
      <c r="E12" s="92" t="s">
        <v>15</v>
      </c>
      <c r="F12" s="93"/>
      <c r="H12" s="154" t="str">
        <f>IF(E24=U38,U1,U2)</f>
        <v xml:space="preserve">Направляющая нижняя </v>
      </c>
      <c r="I12" s="155"/>
      <c r="J12" s="36" t="str">
        <f>IF(E24=U38,V1,V2)</f>
        <v>AS0504.VP540</v>
      </c>
      <c r="K12" s="9">
        <f>E11-2</f>
        <v>1998</v>
      </c>
      <c r="L12" s="4">
        <f>IF(E24=U38,1,2)</f>
        <v>1</v>
      </c>
      <c r="M12" s="23"/>
      <c r="U12" s="15" t="s">
        <v>30</v>
      </c>
    </row>
    <row r="13" spans="2:33" s="24" customFormat="1" ht="20.100000000000001" customHeight="1" x14ac:dyDescent="0.35">
      <c r="B13" s="146" t="s">
        <v>144</v>
      </c>
      <c r="C13" s="156"/>
      <c r="D13" s="156"/>
      <c r="E13" s="127" t="s">
        <v>151</v>
      </c>
      <c r="F13" s="128"/>
      <c r="H13" s="80" t="str">
        <f>IF(AND(E16=U37,D8=AB34),AC13,IF(AND(E16=U37,D8=AB35),Y16,IF(D8=AB34,Y13,Y16)))</f>
        <v>Профиль вертикальный Slim</v>
      </c>
      <c r="I13" s="118"/>
      <c r="J13" s="37" t="str">
        <f>IF(H13=Y13,AB13,IF(H13=AC13,AG13,AB16))</f>
        <v>AV0650.VP540</v>
      </c>
      <c r="K13" s="5">
        <f>L7</f>
        <v>2566</v>
      </c>
      <c r="L13" s="6">
        <f>E14*2</f>
        <v>4</v>
      </c>
      <c r="M13" s="23">
        <f>IF(D8=AB34,P13,Q13)</f>
        <v>0.29799999999999999</v>
      </c>
      <c r="N13" s="24">
        <f>M13*K13*L13/1000</f>
        <v>3.0586720000000001</v>
      </c>
      <c r="P13" s="24">
        <v>0.29799999999999999</v>
      </c>
      <c r="Q13" s="24">
        <v>0.35599999999999998</v>
      </c>
      <c r="U13" s="15" t="s">
        <v>31</v>
      </c>
      <c r="Y13" s="24" t="s">
        <v>156</v>
      </c>
      <c r="AB13" s="24" t="s">
        <v>67</v>
      </c>
      <c r="AC13" s="24" t="s">
        <v>97</v>
      </c>
      <c r="AG13" s="24" t="s">
        <v>100</v>
      </c>
    </row>
    <row r="14" spans="2:33" s="24" customFormat="1" ht="20.100000000000001" customHeight="1" x14ac:dyDescent="0.35">
      <c r="B14" s="105" t="s">
        <v>0</v>
      </c>
      <c r="C14" s="106"/>
      <c r="D14" s="107"/>
      <c r="E14" s="152">
        <f>IF(E12=U4,2,IF(E12=U5,3,IF(E12=U6,4,IF(E12=U7,4,IF(E12=U8,5)))))</f>
        <v>2</v>
      </c>
      <c r="F14" s="153"/>
      <c r="H14" s="80" t="str">
        <f>IF(E16=U37,AC14,IF(E22=U58,Y14,Y17))</f>
        <v>Рамка узкая</v>
      </c>
      <c r="I14" s="118"/>
      <c r="J14" s="37" t="str">
        <f>IF(H14=Y14,AB14,IF(H14=AC14,AG14,AB17))</f>
        <v>AV0588.VP540</v>
      </c>
      <c r="K14" s="5">
        <f>IF(D7=AA3,IF(D8=AB34,AD34,AD35),0)</f>
        <v>0</v>
      </c>
      <c r="L14" s="6">
        <f>IF(D7=AA3,E14,0)</f>
        <v>0</v>
      </c>
      <c r="M14" s="23">
        <v>0.28299999999999997</v>
      </c>
      <c r="N14" s="24">
        <f t="shared" ref="N14:N16" si="0">M14*K14*L14/1000</f>
        <v>0</v>
      </c>
      <c r="U14" s="15" t="s">
        <v>32</v>
      </c>
      <c r="Y14" s="64" t="s">
        <v>95</v>
      </c>
      <c r="Z14" s="64"/>
      <c r="AA14" s="64"/>
      <c r="AB14" s="64" t="s">
        <v>68</v>
      </c>
      <c r="AC14" s="64" t="s">
        <v>98</v>
      </c>
      <c r="AD14" s="64"/>
      <c r="AE14" s="64"/>
      <c r="AF14" s="64"/>
      <c r="AG14" s="24" t="s">
        <v>163</v>
      </c>
    </row>
    <row r="15" spans="2:33" s="24" customFormat="1" ht="20.100000000000001" customHeight="1" x14ac:dyDescent="0.35">
      <c r="B15" s="105" t="s">
        <v>127</v>
      </c>
      <c r="C15" s="106"/>
      <c r="D15" s="107"/>
      <c r="E15" s="152">
        <f>IF(E12=U4,1,IF(E12=U5,2,IF(E12=U6,3,IF(E12=U7,2,IF(E12=U8,4)))))</f>
        <v>1</v>
      </c>
      <c r="F15" s="153"/>
      <c r="H15" s="80" t="str">
        <f>IF(E16=U37,AC15,IF(E22=U58,Y15,Y18))</f>
        <v>Рамка широкая</v>
      </c>
      <c r="I15" s="118"/>
      <c r="J15" s="38" t="str">
        <f>IF(H15=Y15,AB15,IF(H15=AC15,AG15,AB18))</f>
        <v>AV0589.VP540</v>
      </c>
      <c r="K15" s="5">
        <f>IF(D8=AB34,AD34,AD35)</f>
        <v>980.6</v>
      </c>
      <c r="L15" s="6">
        <f>IF(D7=AA3,E14,E14*2)</f>
        <v>4</v>
      </c>
      <c r="M15" s="23">
        <v>0.56000000000000005</v>
      </c>
      <c r="N15" s="24">
        <f t="shared" si="0"/>
        <v>2.1965440000000003</v>
      </c>
      <c r="Y15" s="64" t="s">
        <v>96</v>
      </c>
      <c r="Z15" s="64"/>
      <c r="AA15" s="64"/>
      <c r="AB15" s="64" t="s">
        <v>73</v>
      </c>
      <c r="AC15" s="64" t="s">
        <v>99</v>
      </c>
      <c r="AD15" s="64"/>
      <c r="AE15" s="64"/>
      <c r="AF15" s="64"/>
      <c r="AG15" s="24" t="s">
        <v>102</v>
      </c>
    </row>
    <row r="16" spans="2:33" s="24" customFormat="1" ht="20.100000000000001" customHeight="1" thickBot="1" x14ac:dyDescent="0.4">
      <c r="B16" s="85" t="s">
        <v>92</v>
      </c>
      <c r="C16" s="86"/>
      <c r="D16" s="87"/>
      <c r="E16" s="92" t="s">
        <v>41</v>
      </c>
      <c r="F16" s="93"/>
      <c r="H16" s="114" t="str">
        <f>IF(E16=U37,AA58,IF(E21=U58,V58,V59))</f>
        <v>Рамка средняя</v>
      </c>
      <c r="I16" s="115"/>
      <c r="J16" s="39" t="str">
        <f>IF(E16=U37,AB58,IF(E21=U58,W58,W59))</f>
        <v>AV0590.VP540</v>
      </c>
      <c r="K16" s="7">
        <f>IF(E20=0,0,K15)</f>
        <v>0</v>
      </c>
      <c r="L16" s="8">
        <f>E14*E20</f>
        <v>0</v>
      </c>
      <c r="M16" s="23">
        <v>0.312</v>
      </c>
      <c r="N16" s="24">
        <f t="shared" si="0"/>
        <v>0</v>
      </c>
      <c r="Y16" s="24" t="s">
        <v>157</v>
      </c>
      <c r="Z16" s="64"/>
      <c r="AA16" s="64"/>
      <c r="AB16" s="64" t="s">
        <v>160</v>
      </c>
      <c r="AC16" s="64"/>
      <c r="AD16" s="64"/>
      <c r="AE16" s="64"/>
      <c r="AF16" s="64"/>
    </row>
    <row r="17" spans="2:31" s="24" customFormat="1" ht="20.100000000000001" customHeight="1" thickBot="1" x14ac:dyDescent="0.35">
      <c r="B17" s="85" t="s">
        <v>115</v>
      </c>
      <c r="C17" s="86"/>
      <c r="D17" s="87"/>
      <c r="E17" s="94" t="s">
        <v>120</v>
      </c>
      <c r="F17" s="95"/>
      <c r="H17" s="64"/>
      <c r="I17" s="64"/>
      <c r="J17" s="64"/>
      <c r="K17" s="66"/>
      <c r="L17" s="67"/>
      <c r="N17" s="40">
        <f>SUM(N13:N16)/E14</f>
        <v>2.6276080000000004</v>
      </c>
      <c r="Y17" s="64" t="s">
        <v>158</v>
      </c>
      <c r="AB17" s="24" t="s">
        <v>161</v>
      </c>
    </row>
    <row r="18" spans="2:31" s="24" customFormat="1" ht="20.100000000000001" customHeight="1" x14ac:dyDescent="0.3">
      <c r="B18" s="80" t="s">
        <v>128</v>
      </c>
      <c r="C18" s="81"/>
      <c r="D18" s="81"/>
      <c r="E18" s="96">
        <v>0</v>
      </c>
      <c r="F18" s="97"/>
      <c r="H18" s="116" t="s">
        <v>7</v>
      </c>
      <c r="I18" s="117"/>
      <c r="J18" s="69" t="s">
        <v>20</v>
      </c>
      <c r="K18" s="110" t="s">
        <v>3</v>
      </c>
      <c r="L18" s="111"/>
      <c r="U18" s="24" t="s">
        <v>37</v>
      </c>
      <c r="Y18" s="64" t="s">
        <v>159</v>
      </c>
      <c r="AB18" s="24" t="s">
        <v>162</v>
      </c>
    </row>
    <row r="19" spans="2:31" s="24" customFormat="1" ht="20.100000000000001" customHeight="1" x14ac:dyDescent="0.3">
      <c r="B19" s="80" t="s">
        <v>129</v>
      </c>
      <c r="C19" s="81"/>
      <c r="D19" s="81"/>
      <c r="E19" s="96">
        <v>0</v>
      </c>
      <c r="F19" s="97"/>
      <c r="H19" s="80" t="s">
        <v>36</v>
      </c>
      <c r="I19" s="118"/>
      <c r="J19" s="41" t="s">
        <v>76</v>
      </c>
      <c r="K19" s="112">
        <f>E14</f>
        <v>2</v>
      </c>
      <c r="L19" s="113"/>
      <c r="N19" s="24">
        <f>IF(C36=$U$12,((D36*E36*F36/$E$14)/1000000)*8,IF(C36=$U$13,((D36*E36*F36/$E$14)/1000000)*6.5,((D36*E36*F36/$E$14)/1000000)*11))</f>
        <v>27.962879999999998</v>
      </c>
      <c r="U19" s="24" t="s">
        <v>38</v>
      </c>
    </row>
    <row r="20" spans="2:31" s="24" customFormat="1" ht="20.100000000000001" customHeight="1" x14ac:dyDescent="0.3">
      <c r="B20" s="82" t="s">
        <v>13</v>
      </c>
      <c r="C20" s="83"/>
      <c r="D20" s="84"/>
      <c r="E20" s="96">
        <v>0</v>
      </c>
      <c r="F20" s="97"/>
      <c r="H20" s="80" t="s">
        <v>57</v>
      </c>
      <c r="I20" s="118"/>
      <c r="J20" s="42" t="s">
        <v>131</v>
      </c>
      <c r="K20" s="112">
        <f>IF(D7=AA3,0,ROUNDUP(IF(E12=U4,2+E18,IF(OR(E12=U5,E12=U6,E12=U7),4+E18,6+E18))/2,0))</f>
        <v>1</v>
      </c>
      <c r="L20" s="113"/>
      <c r="N20" s="24">
        <f>IF(C37=$U$12,((D37*E37*F37/$E$14)/1000000)*8,IF(C37=$U$13,((D37*E37*F37/$E$14)/1000000)*6.5,((D37*E37*F37/$E$14)/1000000)*11))</f>
        <v>0</v>
      </c>
    </row>
    <row r="21" spans="2:31" s="24" customFormat="1" ht="20.100000000000001" customHeight="1" x14ac:dyDescent="0.3">
      <c r="B21" s="85" t="s">
        <v>93</v>
      </c>
      <c r="C21" s="86"/>
      <c r="D21" s="87"/>
      <c r="E21" s="92" t="s">
        <v>94</v>
      </c>
      <c r="F21" s="93"/>
      <c r="H21" s="80" t="s">
        <v>56</v>
      </c>
      <c r="I21" s="118"/>
      <c r="J21" s="42" t="s">
        <v>132</v>
      </c>
      <c r="K21" s="112">
        <f>IF(D7=AA3,0,ROUNDUP(IF(OR(E12=U4,E12=U5),2+E19,4+E19)/2,0))</f>
        <v>1</v>
      </c>
      <c r="L21" s="113"/>
      <c r="N21" s="24">
        <f>IF(C38=$U$12,((D38*E38*F38/$E$14)/1000000)*8,IF(C38=$U$13,((D38*E38*F38/$E$14)/1000000)*6.5,((D38*E38*F38/$E$14)/1000000)*11))</f>
        <v>0</v>
      </c>
      <c r="AB21" s="24" t="s">
        <v>116</v>
      </c>
      <c r="AE21" s="24" t="s">
        <v>121</v>
      </c>
    </row>
    <row r="22" spans="2:31" s="24" customFormat="1" ht="20.100000000000001" customHeight="1" x14ac:dyDescent="0.35">
      <c r="B22" s="85" t="s">
        <v>155</v>
      </c>
      <c r="C22" s="86"/>
      <c r="D22" s="87"/>
      <c r="E22" s="92" t="s">
        <v>94</v>
      </c>
      <c r="F22" s="93"/>
      <c r="H22" s="146" t="s">
        <v>133</v>
      </c>
      <c r="I22" s="147"/>
      <c r="J22" s="20" t="s">
        <v>134</v>
      </c>
      <c r="K22" s="144">
        <f>IF(D7=AA3,0,(E14*2-SUM(E18:F19))/2)</f>
        <v>2</v>
      </c>
      <c r="L22" s="145"/>
      <c r="N22" s="24">
        <f>IF(C39=$U$12,((D39*E39*F39/$E$14)/1000000)*8,IF(C39=$U$13,((D39*E39*F39/$E$14)/1000000)*6.5,((D39*E39*F39/$E$14)/1000000)*11))</f>
        <v>0</v>
      </c>
      <c r="U22" s="23" t="s">
        <v>39</v>
      </c>
      <c r="AB22" s="24" t="s">
        <v>117</v>
      </c>
      <c r="AE22" s="24" t="s">
        <v>122</v>
      </c>
    </row>
    <row r="23" spans="2:31" s="24" customFormat="1" ht="20.100000000000001" customHeight="1" thickBot="1" x14ac:dyDescent="0.4">
      <c r="B23" s="146" t="s">
        <v>145</v>
      </c>
      <c r="C23" s="156"/>
      <c r="D23" s="156"/>
      <c r="E23" s="96">
        <v>0</v>
      </c>
      <c r="F23" s="97"/>
      <c r="H23" s="80" t="s">
        <v>138</v>
      </c>
      <c r="I23" s="118"/>
      <c r="J23" s="20" t="s">
        <v>77</v>
      </c>
      <c r="K23" s="142">
        <f>ROUNDUP((IF(AND(E20&lt;&gt;0,C36=U13),(D36+E36+D36)*F36,IF(AND(E20=0,C36=U13),(D36+E36)*2*F36,0))
+IF(C37=U13,D37*2*F37,0)
+IF(C38=U13,D38*2*F38,0)
+IF(C39=U13,D39*2*F39,0)
+IF(C40=U13,(D40+E40+D40)*F40,0))/1000,0)</f>
        <v>0</v>
      </c>
      <c r="L23" s="143"/>
      <c r="N23" s="24">
        <f>IF(C40=$U$12,((D40*E40*F40/$E$14)/1000000)*8,IF(C40=$U$13,((D40*E40*F40/$E$14)/1000000)*6.5,((D40*E40*F40/$E$14)/1000000)*11))</f>
        <v>0</v>
      </c>
      <c r="U23" s="23" t="s">
        <v>11</v>
      </c>
      <c r="AB23" s="24" t="s">
        <v>118</v>
      </c>
      <c r="AE23" s="24" t="s">
        <v>123</v>
      </c>
    </row>
    <row r="24" spans="2:31" s="24" customFormat="1" ht="20.100000000000001" customHeight="1" thickBot="1" x14ac:dyDescent="0.35">
      <c r="B24" s="131" t="s">
        <v>66</v>
      </c>
      <c r="C24" s="132"/>
      <c r="D24" s="133"/>
      <c r="E24" s="127" t="s">
        <v>41</v>
      </c>
      <c r="F24" s="128"/>
      <c r="H24" s="80" t="s">
        <v>137</v>
      </c>
      <c r="I24" s="118"/>
      <c r="J24" s="20" t="s">
        <v>78</v>
      </c>
      <c r="K24" s="142">
        <f>ROUNDUP((IF(AND(E20&lt;&gt;0,C36=U14),(D36+E36+D36)*F36,IF(AND(E20=0,C36=U14),(D36+E36)*2*F36,0))
+IF(C37=U14,D37*2*F37,0)
+IF(C38=U14,D38*2*F38,0)
+IF(C39=U14,D39*2*F39,0)
+IF(C40=U14,(D40+E40+D40)*F40,0))/1000,0)</f>
        <v>15</v>
      </c>
      <c r="L24" s="143"/>
      <c r="N24" s="40">
        <f>SUM(N19:N23)</f>
        <v>27.962879999999998</v>
      </c>
      <c r="AB24" s="24" t="s">
        <v>119</v>
      </c>
      <c r="AE24" s="24" t="s">
        <v>124</v>
      </c>
    </row>
    <row r="25" spans="2:31" s="24" customFormat="1" ht="20.100000000000001" customHeight="1" thickBot="1" x14ac:dyDescent="0.35">
      <c r="B25" s="131" t="s">
        <v>8</v>
      </c>
      <c r="C25" s="132"/>
      <c r="D25" s="133"/>
      <c r="E25" s="127" t="s">
        <v>41</v>
      </c>
      <c r="F25" s="128"/>
      <c r="H25" s="80" t="s">
        <v>136</v>
      </c>
      <c r="I25" s="118"/>
      <c r="J25" s="20" t="s">
        <v>79</v>
      </c>
      <c r="K25" s="142">
        <f>ROUNDUP((IF(AND(E20&lt;&gt;0,C36=U14),E36*F36,0)
+IF(C37=U14,E37*2*F37,0)
+IF(C38=U14,E38*2*F38,0)
+IF(C39=U14,E39*2*F39,0)
+IF(C40=U14,E40*F40,0))/1000,0)</f>
        <v>0</v>
      </c>
      <c r="L25" s="143"/>
      <c r="AB25" s="24" t="s">
        <v>120</v>
      </c>
      <c r="AE25" s="24" t="s">
        <v>125</v>
      </c>
    </row>
    <row r="26" spans="2:31" s="24" customFormat="1" ht="20.100000000000001" customHeight="1" thickBot="1" x14ac:dyDescent="0.35">
      <c r="B26" s="131" t="s">
        <v>62</v>
      </c>
      <c r="C26" s="132"/>
      <c r="D26" s="132"/>
      <c r="E26" s="127" t="s">
        <v>42</v>
      </c>
      <c r="F26" s="128"/>
      <c r="H26" s="80" t="s">
        <v>135</v>
      </c>
      <c r="I26" s="118"/>
      <c r="J26" s="20" t="s">
        <v>139</v>
      </c>
      <c r="K26" s="175">
        <f>ROUNDUP((IF(AND(E20&lt;&gt;0,C36=U13),E36*F36,0)
+IF(C37=U13,E37*2*F37,0)
+IF(C38=U13,E38*2*F38,0)
+IF(C39=U13,E39*2*F39,0)
+IF(C40=U13,E40*F40,0))/1000,0)</f>
        <v>0</v>
      </c>
      <c r="L26" s="176"/>
      <c r="M26" s="50" t="s">
        <v>54</v>
      </c>
      <c r="N26" s="51">
        <f>(N24+N17)*1.05</f>
        <v>32.1200124</v>
      </c>
      <c r="U26" s="16">
        <v>0</v>
      </c>
    </row>
    <row r="27" spans="2:31" s="24" customFormat="1" ht="20.100000000000001" customHeight="1" x14ac:dyDescent="0.3">
      <c r="B27" s="134" t="s">
        <v>44</v>
      </c>
      <c r="C27" s="135"/>
      <c r="D27" s="135"/>
      <c r="E27" s="129" t="s">
        <v>46</v>
      </c>
      <c r="F27" s="130"/>
      <c r="H27" s="80" t="s">
        <v>59</v>
      </c>
      <c r="I27" s="118"/>
      <c r="J27" s="41" t="s">
        <v>80</v>
      </c>
      <c r="K27" s="112">
        <f>IF(N26&lt;30,ROUNDUP(SUM(E18:F19)/2,0),0)</f>
        <v>0</v>
      </c>
      <c r="L27" s="113"/>
      <c r="U27" s="16">
        <v>1</v>
      </c>
    </row>
    <row r="28" spans="2:31" s="24" customFormat="1" ht="20.100000000000001" customHeight="1" thickBot="1" x14ac:dyDescent="0.35">
      <c r="B28" s="125" t="s">
        <v>48</v>
      </c>
      <c r="C28" s="126"/>
      <c r="D28" s="126"/>
      <c r="E28" s="123" t="s">
        <v>41</v>
      </c>
      <c r="F28" s="124"/>
      <c r="H28" s="80" t="s">
        <v>59</v>
      </c>
      <c r="I28" s="118"/>
      <c r="J28" s="41" t="s">
        <v>81</v>
      </c>
      <c r="K28" s="112">
        <f>IF(AND(N26&gt;=30,N26&lt;50),ROUNDUP(SUM(E18:F19)/2,0),0)</f>
        <v>0</v>
      </c>
      <c r="L28" s="113"/>
      <c r="U28" s="16">
        <v>2</v>
      </c>
      <c r="AB28" s="24" t="s">
        <v>148</v>
      </c>
    </row>
    <row r="29" spans="2:31" s="24" customFormat="1" ht="20.100000000000001" customHeight="1" x14ac:dyDescent="0.3">
      <c r="B29" s="24" t="s">
        <v>113</v>
      </c>
      <c r="H29" s="80" t="s">
        <v>59</v>
      </c>
      <c r="I29" s="118"/>
      <c r="J29" s="41" t="s">
        <v>82</v>
      </c>
      <c r="K29" s="112">
        <f>IF(AND(N26&gt;=50,N26&lt;70),ROUNDUP(SUM(E18:F19)/2,0),0)</f>
        <v>0</v>
      </c>
      <c r="L29" s="113"/>
      <c r="N29" s="71"/>
      <c r="U29" s="16">
        <v>3</v>
      </c>
      <c r="AB29" s="24" t="s">
        <v>149</v>
      </c>
    </row>
    <row r="30" spans="2:31" s="24" customFormat="1" ht="20.100000000000001" customHeight="1" x14ac:dyDescent="0.3">
      <c r="B30" s="24" t="s">
        <v>114</v>
      </c>
      <c r="H30" s="80" t="s">
        <v>63</v>
      </c>
      <c r="I30" s="118"/>
      <c r="J30" s="41" t="s">
        <v>83</v>
      </c>
      <c r="K30" s="138">
        <f>IF(E26=U43,E14*2-SUM(E18:F19),0)</f>
        <v>4</v>
      </c>
      <c r="L30" s="139"/>
      <c r="M30" s="72"/>
      <c r="U30" s="16">
        <v>4</v>
      </c>
      <c r="AB30" s="24" t="s">
        <v>150</v>
      </c>
    </row>
    <row r="31" spans="2:31" ht="20.100000000000001" customHeight="1" thickBot="1" x14ac:dyDescent="0.4">
      <c r="B31" s="24"/>
      <c r="C31" s="24"/>
      <c r="D31" s="24"/>
      <c r="E31" s="24"/>
      <c r="F31" s="24"/>
      <c r="G31" s="24"/>
      <c r="H31" s="80" t="s">
        <v>64</v>
      </c>
      <c r="I31" s="118"/>
      <c r="J31" s="41" t="s">
        <v>84</v>
      </c>
      <c r="K31" s="138">
        <f>IF(E26=U44,E14*2-SUM(E18:F19),0)</f>
        <v>0</v>
      </c>
      <c r="L31" s="139"/>
      <c r="M31" s="73"/>
      <c r="AB31" s="23" t="s">
        <v>151</v>
      </c>
    </row>
    <row r="32" spans="2:31" ht="20.100000000000001" customHeight="1" thickBot="1" x14ac:dyDescent="0.4">
      <c r="B32" s="44" t="s">
        <v>52</v>
      </c>
      <c r="C32" s="45">
        <f>E20+1</f>
        <v>1</v>
      </c>
      <c r="D32" s="70"/>
      <c r="E32" s="43"/>
      <c r="F32" s="43"/>
      <c r="G32" s="24"/>
      <c r="H32" s="173" t="s">
        <v>45</v>
      </c>
      <c r="I32" s="174"/>
      <c r="J32" s="55" t="s">
        <v>85</v>
      </c>
      <c r="K32" s="140">
        <f>IF(E27=U47,L14*2+L15*2+L16*2,0)</f>
        <v>0</v>
      </c>
      <c r="L32" s="141"/>
    </row>
    <row r="33" spans="2:32" ht="21" customHeight="1" x14ac:dyDescent="0.35">
      <c r="B33" s="24"/>
      <c r="C33" s="24"/>
      <c r="D33" s="24"/>
      <c r="E33" s="24"/>
      <c r="F33" s="24"/>
      <c r="G33" s="24"/>
      <c r="H33" s="177" t="s">
        <v>50</v>
      </c>
      <c r="I33" s="178"/>
      <c r="J33" s="17" t="s">
        <v>86</v>
      </c>
      <c r="K33" s="136">
        <f>IF(E27=U48,ROUNDUP(L13*L7/1000,0),0)+IF(AND(D8=AB35,D7=AA4),ROUNDUP(L7*2/1000,0))</f>
        <v>11</v>
      </c>
      <c r="L33" s="179"/>
      <c r="AC33" s="23" t="s">
        <v>164</v>
      </c>
      <c r="AD33" s="23" t="s">
        <v>165</v>
      </c>
      <c r="AF33" s="23" t="s">
        <v>166</v>
      </c>
    </row>
    <row r="34" spans="2:32" ht="20.100000000000001" customHeight="1" thickBot="1" x14ac:dyDescent="0.4">
      <c r="B34" s="24"/>
      <c r="C34" s="24"/>
      <c r="D34" s="24"/>
      <c r="E34" s="24"/>
      <c r="F34" s="24"/>
      <c r="G34" s="24"/>
      <c r="H34" s="146" t="s">
        <v>142</v>
      </c>
      <c r="I34" s="156"/>
      <c r="J34" s="78" t="s">
        <v>143</v>
      </c>
      <c r="K34" s="136">
        <f>IF(E27=U49,ROUNDUP(L13*L7/1000,0),0)</f>
        <v>0</v>
      </c>
      <c r="L34" s="179"/>
      <c r="U34" s="15" t="s">
        <v>30</v>
      </c>
      <c r="AB34" s="23" t="s">
        <v>153</v>
      </c>
      <c r="AC34" s="23">
        <f>ROUNDUP(IF(AND(OR(E27=U48,E27=U49),E12=U7),(E11-20+E15*10)/E14,
IF(AND(OR(E27=U48,E27=U49),E12&lt;&gt;U7),(E11-10+E15*10)/E14,(E11+E15*10)/E14)),0)</f>
        <v>1000</v>
      </c>
      <c r="AD34" s="23">
        <f>L8-2*9.7</f>
        <v>980.6</v>
      </c>
      <c r="AF34" s="23">
        <v>4</v>
      </c>
    </row>
    <row r="35" spans="2:32" ht="20.100000000000001" customHeight="1" x14ac:dyDescent="0.35">
      <c r="B35" s="46" t="s">
        <v>21</v>
      </c>
      <c r="C35" s="47" t="s">
        <v>22</v>
      </c>
      <c r="D35" s="47" t="s">
        <v>23</v>
      </c>
      <c r="E35" s="48" t="s">
        <v>24</v>
      </c>
      <c r="F35" s="49" t="s">
        <v>53</v>
      </c>
      <c r="H35" s="80" t="s">
        <v>47</v>
      </c>
      <c r="I35" s="118"/>
      <c r="J35" s="74" t="s">
        <v>87</v>
      </c>
      <c r="K35" s="161">
        <f>IF(OR(K33&gt;0,K34&gt;0),L13*2,0)</f>
        <v>8</v>
      </c>
      <c r="L35" s="180"/>
      <c r="U35" s="15" t="s">
        <v>32</v>
      </c>
      <c r="AB35" s="23" t="s">
        <v>154</v>
      </c>
      <c r="AC35" s="23">
        <f>ROUNDUP(IF(AND(OR(E27=U48,E27=U49),E12=U7),(E11-20+E15*14)/E14,
IF(AND(OR(E27=U48,E27=U49),E12&lt;&gt;U7),(E11-10+E15*14)/E14,(E11+E15*14)/E14)),0)</f>
        <v>1002</v>
      </c>
      <c r="AD35" s="23">
        <f>L8-2*14</f>
        <v>972</v>
      </c>
      <c r="AF35" s="23">
        <v>12</v>
      </c>
    </row>
    <row r="36" spans="2:32" ht="20.100000000000001" customHeight="1" x14ac:dyDescent="0.35">
      <c r="B36" s="77" t="s">
        <v>25</v>
      </c>
      <c r="C36" s="10" t="s">
        <v>32</v>
      </c>
      <c r="D36" s="11">
        <f>ROUNDDOWN(L7-IF(D40=0,0,IF(C40=U12,D40,IF(C40=U13,D40+2,D40+3)))-IF(D39=0,0,IF(C39=U12,D39,IF(C39=U13,D39+2,D39+3)))-IF(D38=0,0,IF(C38=U12,D38,IF(C38=U13,D38+2,D38+3)))-IF(D37=0,0,IF(C37=U12,D37,IF(C37=U13,D37+2,D37+3)))-3-IF(C36=U13,2,IF(C36=U14,3,0))-E20*1.3,0)</f>
        <v>2560</v>
      </c>
      <c r="E36" s="52">
        <f>IF(C36=$U$12,$L$8-IF(D8=AB34,AF34,AF35),IF(C36=$U$13,$L$8-IF(D8=AB34,AF34,AF35)-2,$L$8-IF(D8=AB34,AF34,AF35)-3))</f>
        <v>993</v>
      </c>
      <c r="F36" s="53">
        <f>$E$14</f>
        <v>2</v>
      </c>
      <c r="G36" s="54">
        <f>IF(D36&lt;&gt;0,1,0)</f>
        <v>1</v>
      </c>
      <c r="H36" s="80" t="s">
        <v>49</v>
      </c>
      <c r="I36" s="118"/>
      <c r="J36" s="41" t="s">
        <v>88</v>
      </c>
      <c r="K36" s="136">
        <f>IF(D8=AB35,0,ROUNDUP(L13*L7/1000,0))</f>
        <v>11</v>
      </c>
      <c r="L36" s="137"/>
    </row>
    <row r="37" spans="2:32" ht="20.100000000000001" customHeight="1" x14ac:dyDescent="0.35">
      <c r="B37" s="77" t="s">
        <v>26</v>
      </c>
      <c r="C37" s="10" t="s">
        <v>32</v>
      </c>
      <c r="D37" s="12">
        <v>0</v>
      </c>
      <c r="E37" s="52">
        <f>IF(C37=$U$12,$L$8-IF(D8=AB34,AF34,AF35),IF(C37=$U$13,$L$8-IF(D8=AB34,AF34,AF35)-2,$L$8-IF(D8=AB34,AF34,AF35)-3))</f>
        <v>993</v>
      </c>
      <c r="F37" s="53">
        <f>IF(D37&lt;&gt;0,$E$14,0)</f>
        <v>0</v>
      </c>
      <c r="G37" s="54">
        <f>IF(D37&lt;&gt;0,1,0)</f>
        <v>0</v>
      </c>
      <c r="H37" s="80" t="s">
        <v>8</v>
      </c>
      <c r="I37" s="118"/>
      <c r="J37" s="41" t="s">
        <v>89</v>
      </c>
      <c r="K37" s="136">
        <f>IF(E25=U37,ROUNDUP((K12+40)*2/1000,0),0)</f>
        <v>0</v>
      </c>
      <c r="L37" s="137"/>
      <c r="U37" s="23" t="s">
        <v>40</v>
      </c>
    </row>
    <row r="38" spans="2:32" x14ac:dyDescent="0.35">
      <c r="B38" s="77" t="s">
        <v>27</v>
      </c>
      <c r="C38" s="10" t="s">
        <v>30</v>
      </c>
      <c r="D38" s="12">
        <v>0</v>
      </c>
      <c r="E38" s="52">
        <f>IF(C38=$U$12,$L$8-IF(D8=AB34,AF34,AF35),IF(C38=$U$13,$L$8-IF(D8=AB34,AF34,AF35)-2,$L$8-IF(D8=AB34,AF34,AF35)-3))</f>
        <v>996</v>
      </c>
      <c r="F38" s="53">
        <f>IF(D38&lt;&gt;0,$E$14,0)</f>
        <v>0</v>
      </c>
      <c r="G38" s="54">
        <f>IF(D38&lt;&gt;0,1,0)</f>
        <v>0</v>
      </c>
      <c r="H38" s="80" t="s">
        <v>33</v>
      </c>
      <c r="I38" s="118"/>
      <c r="J38" s="41" t="s">
        <v>90</v>
      </c>
      <c r="K38" s="161">
        <f>L16*2</f>
        <v>0</v>
      </c>
      <c r="L38" s="162"/>
      <c r="U38" s="24" t="s">
        <v>41</v>
      </c>
    </row>
    <row r="39" spans="2:32" x14ac:dyDescent="0.35">
      <c r="B39" s="77" t="s">
        <v>28</v>
      </c>
      <c r="C39" s="10" t="s">
        <v>32</v>
      </c>
      <c r="D39" s="12">
        <v>0</v>
      </c>
      <c r="E39" s="52">
        <f>IF(C39=$U$12,$L$8-IF(D8=AB34,AF34,AF35),IF(C39=$U$13,$L$8-IF(D8=AB34,AF34,AF35)-2,$L$8-IF(D8=AB34,AF34,AF35)-3))</f>
        <v>993</v>
      </c>
      <c r="F39" s="53">
        <f>IF(D39&lt;&gt;0,$E$14,0)</f>
        <v>0</v>
      </c>
      <c r="G39" s="54">
        <f>IF(D39&lt;&gt;0,1,0)</f>
        <v>0</v>
      </c>
      <c r="H39" s="80" t="s">
        <v>60</v>
      </c>
      <c r="I39" s="118"/>
      <c r="J39" s="61" t="s">
        <v>110</v>
      </c>
      <c r="K39" s="161">
        <f>SUM(K20:L21)*8</f>
        <v>16</v>
      </c>
      <c r="L39" s="162"/>
    </row>
    <row r="40" spans="2:32" ht="18.600000000000001" thickBot="1" x14ac:dyDescent="0.4">
      <c r="B40" s="56" t="s">
        <v>29</v>
      </c>
      <c r="C40" s="13" t="s">
        <v>32</v>
      </c>
      <c r="D40" s="14">
        <v>0</v>
      </c>
      <c r="E40" s="57">
        <f>IF(C40=$U$12,$L$8-IF(D8=AB34,AF34,AF35),IF(C40=$U$13,$L$8-IF(D8=AB34,AF34,AF35)-2,$L$8-IF(D8=AB34,AF34,AF35)-3))</f>
        <v>993</v>
      </c>
      <c r="F40" s="58">
        <f>IF(D40&lt;&gt;0,$E$14,0)</f>
        <v>0</v>
      </c>
      <c r="G40" s="54">
        <f>IF(D40&lt;&gt;0,1,0)</f>
        <v>0</v>
      </c>
      <c r="H40" s="85" t="s">
        <v>61</v>
      </c>
      <c r="I40" s="86"/>
      <c r="J40" s="41" t="s">
        <v>91</v>
      </c>
      <c r="K40" s="161">
        <f>IF(E28=U37,E15,0)</f>
        <v>0</v>
      </c>
      <c r="L40" s="162"/>
    </row>
    <row r="41" spans="2:32" x14ac:dyDescent="0.35">
      <c r="B41" s="24"/>
      <c r="C41" s="24"/>
      <c r="D41" s="24"/>
      <c r="E41" s="24"/>
      <c r="F41" s="24"/>
      <c r="H41" s="171" t="s">
        <v>146</v>
      </c>
      <c r="I41" s="172"/>
      <c r="J41" s="55" t="s">
        <v>147</v>
      </c>
      <c r="K41" s="161">
        <f>E23</f>
        <v>0</v>
      </c>
      <c r="L41" s="162"/>
    </row>
    <row r="42" spans="2:32" ht="18.600000000000001" thickBot="1" x14ac:dyDescent="0.4">
      <c r="B42" s="24"/>
      <c r="C42" s="59" t="str">
        <f>IF((SUM(G36:G40)/C32)&lt;&gt;1,U18,U19)</f>
        <v>Верно внесены высоты вставок</v>
      </c>
      <c r="D42" s="22">
        <f>IF(C42=U19,1,0)</f>
        <v>1</v>
      </c>
      <c r="E42" s="24"/>
      <c r="F42" s="24"/>
      <c r="H42" s="163" t="s">
        <v>126</v>
      </c>
      <c r="I42" s="164"/>
      <c r="J42" s="76" t="str">
        <f>IF(E17=AB21,AE21,IF(E17=AB22,AE22,IF(E17=AB23,AE23,IF(E17=AB24,AE24,AE25))))</f>
        <v>V0067.AM030.BKAEP.CA</v>
      </c>
      <c r="K42" s="165">
        <f>IF(E16=U37,ROUNDUP((K13*L13+K14*L14+K15*L15+K16*L16+200)/1000,0),0)</f>
        <v>0</v>
      </c>
      <c r="L42" s="166"/>
      <c r="U42" s="23" t="s">
        <v>41</v>
      </c>
    </row>
    <row r="43" spans="2:32" x14ac:dyDescent="0.35">
      <c r="B43" s="24"/>
      <c r="C43" s="24"/>
      <c r="D43" s="24"/>
      <c r="E43" s="24"/>
      <c r="F43" s="24"/>
      <c r="U43" s="23" t="s">
        <v>42</v>
      </c>
    </row>
    <row r="44" spans="2:32" x14ac:dyDescent="0.35">
      <c r="B44" s="24"/>
      <c r="C44" s="60" t="str">
        <f>IF(AND(SUM(G36:G40)/C32=1,D40=0,C32&lt;&gt;1),U22,U23)</f>
        <v xml:space="preserve"> </v>
      </c>
      <c r="D44" s="60"/>
      <c r="E44" s="24"/>
      <c r="F44" s="24"/>
      <c r="H44" s="157" t="s">
        <v>108</v>
      </c>
      <c r="I44" s="157"/>
      <c r="J44" s="157"/>
      <c r="K44" s="157"/>
      <c r="L44" s="157"/>
      <c r="U44" s="23" t="s">
        <v>43</v>
      </c>
    </row>
    <row r="45" spans="2:32" x14ac:dyDescent="0.35">
      <c r="B45" s="24"/>
      <c r="C45" s="24"/>
      <c r="D45" s="24"/>
      <c r="E45" s="24"/>
      <c r="F45" s="24"/>
      <c r="H45" s="157"/>
      <c r="I45" s="157"/>
      <c r="J45" s="157"/>
      <c r="K45" s="157"/>
      <c r="L45" s="157"/>
    </row>
    <row r="46" spans="2:32" ht="18.600000000000001" thickBot="1" x14ac:dyDescent="0.4">
      <c r="B46" s="24"/>
      <c r="D46" s="60"/>
      <c r="E46" s="24"/>
      <c r="F46" s="24"/>
      <c r="G46" s="24"/>
    </row>
    <row r="47" spans="2:32" ht="18.600000000000001" thickBot="1" x14ac:dyDescent="0.4">
      <c r="B47" s="24"/>
      <c r="C47" s="24"/>
      <c r="D47" s="24"/>
      <c r="E47" s="62" t="s">
        <v>55</v>
      </c>
      <c r="F47" s="63">
        <f>ROUNDUP(N26,0)</f>
        <v>33</v>
      </c>
      <c r="G47" s="24"/>
      <c r="H47" s="23" t="s">
        <v>58</v>
      </c>
      <c r="U47" s="18" t="s">
        <v>45</v>
      </c>
    </row>
    <row r="48" spans="2:32" x14ac:dyDescent="0.35">
      <c r="G48" s="24"/>
      <c r="U48" s="19" t="s">
        <v>46</v>
      </c>
    </row>
    <row r="49" spans="2:28" x14ac:dyDescent="0.35">
      <c r="G49" s="24"/>
      <c r="H49" s="23" t="s">
        <v>109</v>
      </c>
      <c r="U49" s="18" t="s">
        <v>141</v>
      </c>
    </row>
    <row r="50" spans="2:28" x14ac:dyDescent="0.35">
      <c r="G50" s="24"/>
    </row>
    <row r="51" spans="2:28" x14ac:dyDescent="0.35">
      <c r="U51" s="23" t="s">
        <v>51</v>
      </c>
    </row>
    <row r="52" spans="2:28" x14ac:dyDescent="0.35">
      <c r="U52" s="23" t="s">
        <v>11</v>
      </c>
    </row>
    <row r="53" spans="2:28" ht="25.8" x14ac:dyDescent="0.5">
      <c r="B53" s="167" t="s">
        <v>130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7"/>
    </row>
    <row r="55" spans="2:28" ht="18.600000000000001" thickBot="1" x14ac:dyDescent="0.4"/>
    <row r="56" spans="2:28" ht="21.6" thickBot="1" x14ac:dyDescent="0.45">
      <c r="B56" s="75" t="s">
        <v>105</v>
      </c>
      <c r="D56" s="168" t="s">
        <v>106</v>
      </c>
      <c r="E56" s="169"/>
      <c r="F56" s="170"/>
      <c r="I56" s="158" t="s">
        <v>107</v>
      </c>
      <c r="J56" s="159"/>
      <c r="K56" s="160"/>
    </row>
    <row r="58" spans="2:28" x14ac:dyDescent="0.35">
      <c r="U58" s="23" t="s">
        <v>94</v>
      </c>
      <c r="V58" s="23" t="s">
        <v>71</v>
      </c>
      <c r="W58" s="23" t="s">
        <v>69</v>
      </c>
      <c r="AA58" s="23" t="s">
        <v>103</v>
      </c>
      <c r="AB58" s="23" t="s">
        <v>101</v>
      </c>
    </row>
    <row r="59" spans="2:28" ht="39" customHeight="1" x14ac:dyDescent="0.35">
      <c r="U59" s="23" t="s">
        <v>72</v>
      </c>
      <c r="V59" s="65" t="s">
        <v>104</v>
      </c>
      <c r="W59" s="23" t="s">
        <v>70</v>
      </c>
    </row>
  </sheetData>
  <sheetProtection algorithmName="SHA-512" hashValue="qwrx7gtoqLLX1ng8GV60kBHUpdnV4k+ZmXz7+EcWXzfB7YurdBtfdghvxfK7CS19g9zwadX+TL+cUZFMShR/4g==" saltValue="WS6BJJ/b1LXH0nFXTyeF2w==" spinCount="100000" sheet="1" selectLockedCells="1"/>
  <mergeCells count="107">
    <mergeCell ref="H37:I37"/>
    <mergeCell ref="H38:I38"/>
    <mergeCell ref="H28:I28"/>
    <mergeCell ref="H29:I29"/>
    <mergeCell ref="H30:I30"/>
    <mergeCell ref="H31:I31"/>
    <mergeCell ref="H32:I32"/>
    <mergeCell ref="K39:L39"/>
    <mergeCell ref="K25:L25"/>
    <mergeCell ref="H26:I26"/>
    <mergeCell ref="K26:L26"/>
    <mergeCell ref="H33:I33"/>
    <mergeCell ref="H35:I35"/>
    <mergeCell ref="H36:I36"/>
    <mergeCell ref="K36:L36"/>
    <mergeCell ref="H27:I27"/>
    <mergeCell ref="H34:I34"/>
    <mergeCell ref="K34:L34"/>
    <mergeCell ref="K38:L38"/>
    <mergeCell ref="K31:L31"/>
    <mergeCell ref="K33:L33"/>
    <mergeCell ref="K35:L35"/>
    <mergeCell ref="H44:L45"/>
    <mergeCell ref="H39:I39"/>
    <mergeCell ref="H40:I40"/>
    <mergeCell ref="I56:K56"/>
    <mergeCell ref="K40:L40"/>
    <mergeCell ref="H42:I42"/>
    <mergeCell ref="K42:L42"/>
    <mergeCell ref="B53:L53"/>
    <mergeCell ref="D56:F56"/>
    <mergeCell ref="K41:L41"/>
    <mergeCell ref="H41:I41"/>
    <mergeCell ref="H22:I22"/>
    <mergeCell ref="H23:I23"/>
    <mergeCell ref="H24:I24"/>
    <mergeCell ref="H25:I25"/>
    <mergeCell ref="B10:D10"/>
    <mergeCell ref="B11:D11"/>
    <mergeCell ref="B12:D12"/>
    <mergeCell ref="B14:D14"/>
    <mergeCell ref="E10:F10"/>
    <mergeCell ref="E11:F11"/>
    <mergeCell ref="E12:F12"/>
    <mergeCell ref="E14:F14"/>
    <mergeCell ref="E15:F15"/>
    <mergeCell ref="H11:I11"/>
    <mergeCell ref="H12:I12"/>
    <mergeCell ref="H13:I13"/>
    <mergeCell ref="H14:I14"/>
    <mergeCell ref="H15:I15"/>
    <mergeCell ref="H20:I20"/>
    <mergeCell ref="H21:I21"/>
    <mergeCell ref="B13:D13"/>
    <mergeCell ref="E13:F13"/>
    <mergeCell ref="B23:D23"/>
    <mergeCell ref="E23:F23"/>
    <mergeCell ref="K37:L37"/>
    <mergeCell ref="K21:L21"/>
    <mergeCell ref="K27:L27"/>
    <mergeCell ref="K28:L28"/>
    <mergeCell ref="K29:L29"/>
    <mergeCell ref="K30:L30"/>
    <mergeCell ref="K32:L32"/>
    <mergeCell ref="K23:L23"/>
    <mergeCell ref="K24:L24"/>
    <mergeCell ref="K22:L22"/>
    <mergeCell ref="E28:F28"/>
    <mergeCell ref="B28:D28"/>
    <mergeCell ref="E18:F18"/>
    <mergeCell ref="E20:F20"/>
    <mergeCell ref="E25:F25"/>
    <mergeCell ref="E26:F26"/>
    <mergeCell ref="E27:F27"/>
    <mergeCell ref="B24:D24"/>
    <mergeCell ref="E24:F24"/>
    <mergeCell ref="B21:D21"/>
    <mergeCell ref="E21:F21"/>
    <mergeCell ref="B26:D26"/>
    <mergeCell ref="B27:D27"/>
    <mergeCell ref="B25:D25"/>
    <mergeCell ref="B22:D22"/>
    <mergeCell ref="E22:F22"/>
    <mergeCell ref="B2:L3"/>
    <mergeCell ref="B18:D18"/>
    <mergeCell ref="B20:D20"/>
    <mergeCell ref="B16:D16"/>
    <mergeCell ref="B7:C7"/>
    <mergeCell ref="D7:F7"/>
    <mergeCell ref="E16:F16"/>
    <mergeCell ref="B17:D17"/>
    <mergeCell ref="E17:F17"/>
    <mergeCell ref="B19:D19"/>
    <mergeCell ref="E19:F19"/>
    <mergeCell ref="B5:E5"/>
    <mergeCell ref="H5:L5"/>
    <mergeCell ref="H7:J8"/>
    <mergeCell ref="B15:D15"/>
    <mergeCell ref="H10:I10"/>
    <mergeCell ref="K18:L18"/>
    <mergeCell ref="K19:L19"/>
    <mergeCell ref="H16:I16"/>
    <mergeCell ref="H18:I18"/>
    <mergeCell ref="H19:I19"/>
    <mergeCell ref="B8:C8"/>
    <mergeCell ref="D8:F8"/>
    <mergeCell ref="K20:L20"/>
  </mergeCells>
  <conditionalFormatting sqref="C42">
    <cfRule type="expression" dxfId="6" priority="14">
      <formula>$C$42=$U$18</formula>
    </cfRule>
    <cfRule type="expression" dxfId="5" priority="15">
      <formula>$C$42=$U$19</formula>
    </cfRule>
  </conditionalFormatting>
  <conditionalFormatting sqref="C44">
    <cfRule type="expression" dxfId="4" priority="10">
      <formula>$C$44=$U$22</formula>
    </cfRule>
  </conditionalFormatting>
  <conditionalFormatting sqref="E21:F22">
    <cfRule type="expression" dxfId="3" priority="7">
      <formula>$E$16=$U$37</formula>
    </cfRule>
  </conditionalFormatting>
  <conditionalFormatting sqref="E17:F17">
    <cfRule type="expression" dxfId="2" priority="6">
      <formula>$E$16=$U$38</formula>
    </cfRule>
  </conditionalFormatting>
  <conditionalFormatting sqref="E19:F19">
    <cfRule type="expression" dxfId="1" priority="3">
      <formula>OR(AND(OR(E12=$U$4,E12=$U$5),E19&gt;2),AND(OR(E12=$U$6,E12=$U$7,E12=$U$8),E19&gt;4))</formula>
    </cfRule>
  </conditionalFormatting>
  <conditionalFormatting sqref="E18:F18">
    <cfRule type="expression" dxfId="0" priority="17">
      <formula>OR(AND(E12=$U$4,E18&gt;2),AND(OR(E12=$U$5,E12=$U$6,E12=$U$7),E18&gt;4),AND(E12=X9,E18&gt;6))</formula>
    </cfRule>
  </conditionalFormatting>
  <dataValidations count="16">
    <dataValidation type="whole" allowBlank="1" showInputMessage="1" showErrorMessage="1" sqref="E15">
      <formula1>1</formula1>
      <formula2>4</formula2>
    </dataValidation>
    <dataValidation type="whole" allowBlank="1" showInputMessage="1" showErrorMessage="1" sqref="E14">
      <formula1>1</formula1>
      <formula2>5</formula2>
    </dataValidation>
    <dataValidation type="list" operator="greaterThan" allowBlank="1" showInputMessage="1" showErrorMessage="1" sqref="E20">
      <formula1>$U$26:$U$30</formula1>
    </dataValidation>
    <dataValidation type="list" allowBlank="1" showInputMessage="1" showErrorMessage="1" sqref="E12">
      <formula1>$U$4:$U$8</formula1>
    </dataValidation>
    <dataValidation type="list" allowBlank="1" showInputMessage="1" showErrorMessage="1" sqref="C36:C40">
      <formula1>$U$12:$U$14</formula1>
    </dataValidation>
    <dataValidation type="list" allowBlank="1" showInputMessage="1" showErrorMessage="1" sqref="E26">
      <formula1>$U$42:$U$44</formula1>
    </dataValidation>
    <dataValidation type="list" allowBlank="1" showInputMessage="1" showErrorMessage="1" sqref="E28 E25 E24:F24 E16:F16">
      <formula1>$U$37:$U$38</formula1>
    </dataValidation>
    <dataValidation type="list" allowBlank="1" showInputMessage="1" showErrorMessage="1" sqref="E21:F22">
      <formula1>$U$58:$U$59</formula1>
    </dataValidation>
    <dataValidation type="list" allowBlank="1" showInputMessage="1" showErrorMessage="1" sqref="D7:F7">
      <formula1>$AA$3:$AA$5</formula1>
    </dataValidation>
    <dataValidation type="list" allowBlank="1" showInputMessage="1" showErrorMessage="1" sqref="E17:F17">
      <formula1>$AB$21:$AB$25</formula1>
    </dataValidation>
    <dataValidation type="list" allowBlank="1" showInputMessage="1" showErrorMessage="1" sqref="E27:F27">
      <formula1>$U$47:$U$49</formula1>
    </dataValidation>
    <dataValidation type="decimal" allowBlank="1" showInputMessage="1" showErrorMessage="1" errorTitle="Неверное количество" error="Введите значение от 0 до 10" sqref="E23:F23">
      <formula1>0</formula1>
      <formula2>10</formula2>
    </dataValidation>
    <dataValidation type="list" allowBlank="1" showInputMessage="1" showErrorMessage="1" sqref="E13:F13">
      <formula1>$AB$28:$AB$31</formula1>
    </dataValidation>
    <dataValidation type="list" allowBlank="1" showInputMessage="1" showErrorMessage="1" sqref="D8:F8">
      <formula1>$AB$34:$AB$35</formula1>
    </dataValidation>
    <dataValidation type="whole" allowBlank="1" showInputMessage="1" showErrorMessage="1" errorTitle="Неверное количество" error="Не более двух доводчиков на одну дверь." sqref="E18:F18">
      <formula1>0</formula1>
      <formula2>IF(E12=U4,2,IF(OR(E12=U5,E12=U6,E12=U6),4,6))</formula2>
    </dataValidation>
    <dataValidation type="whole" allowBlank="1" showInputMessage="1" showErrorMessage="1" errorTitle="Неверное количество" error="Не более двух доводчиков на одну дверь." sqref="E19:F19">
      <formula1>0</formula1>
      <formula2>IF(OR(E12=U4,E12=U5),2,4)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Slim Line</vt:lpstr>
      <vt:lpstr>'Slim Line'!Область_печати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2023-10-09T14:31:25Z</dcterms:modified>
</cp:coreProperties>
</file>