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+mOZlUyIiWXEdTg8Btp5PkvXO6VR9caN69zES8/efdC3kECSj5up6cABJ3WannMXiAjX/h0movT0V1udx65M2A==" workbookSaltValue="Sh8+vhF6lOqg6puQY74IhA==" workbookSpinCount="100000" lockStructure="1"/>
  <bookViews>
    <workbookView xWindow="0" yWindow="0" windowWidth="23040" windowHeight="9192" tabRatio="874"/>
  </bookViews>
  <sheets>
    <sheet name="Nova" sheetId="1" r:id="rId1"/>
  </sheets>
  <definedNames>
    <definedName name="Print_Area" localSheetId="0">Nova!$A$2:$K$56</definedName>
    <definedName name="_xlnm.Print_Area" localSheetId="0">Nova!$A$1:$M$56</definedName>
  </definedNames>
  <calcPr calcId="162913"/>
</workbook>
</file>

<file path=xl/calcChain.xml><?xml version="1.0" encoding="utf-8"?>
<calcChain xmlns="http://schemas.openxmlformats.org/spreadsheetml/2006/main">
  <c r="K25" i="1" l="1"/>
  <c r="F67" i="1" l="1"/>
  <c r="D67" i="1"/>
  <c r="J25" i="1"/>
  <c r="C39" i="1"/>
  <c r="D66" i="1" l="1"/>
  <c r="F44" i="1"/>
  <c r="F43" i="1"/>
  <c r="K7" i="1"/>
  <c r="J24" i="1" s="1"/>
  <c r="J31" i="1"/>
  <c r="J32" i="1"/>
  <c r="K32" i="1" s="1"/>
  <c r="J33" i="1"/>
  <c r="J34" i="1"/>
  <c r="J39" i="1"/>
  <c r="J40" i="1"/>
  <c r="J48" i="1"/>
  <c r="J47" i="1"/>
  <c r="E14" i="1"/>
  <c r="K8" i="1" s="1"/>
  <c r="E13" i="1"/>
  <c r="D39" i="1"/>
  <c r="L45" i="1"/>
  <c r="L44" i="1"/>
  <c r="L42" i="1"/>
  <c r="L43" i="1"/>
  <c r="J15" i="1"/>
  <c r="K16" i="1"/>
  <c r="I16" i="1"/>
  <c r="H16" i="1"/>
  <c r="J53" i="1"/>
  <c r="J49" i="1"/>
  <c r="J16" i="1"/>
  <c r="K26" i="1" l="1"/>
  <c r="K27" i="1"/>
  <c r="K20" i="1"/>
  <c r="K19" i="1" s="1"/>
  <c r="J19" i="1" s="1"/>
  <c r="J59" i="1"/>
  <c r="J18" i="1"/>
  <c r="J27" i="1"/>
  <c r="J26" i="1"/>
  <c r="F66" i="1"/>
  <c r="J44" i="1"/>
  <c r="K21" i="1"/>
  <c r="J21" i="1" s="1"/>
  <c r="J50" i="1"/>
  <c r="K18" i="1"/>
  <c r="M18" i="1" s="1"/>
  <c r="J38" i="1"/>
  <c r="F45" i="1"/>
  <c r="F46" i="1"/>
  <c r="J45" i="1"/>
  <c r="K34" i="1"/>
  <c r="M34" i="1" s="1"/>
  <c r="F42" i="1"/>
  <c r="K33" i="1"/>
  <c r="M33" i="1" s="1"/>
  <c r="K17" i="1"/>
  <c r="J46" i="1" s="1"/>
  <c r="K11" i="1"/>
  <c r="D42" i="1" s="1"/>
  <c r="K12" i="1"/>
  <c r="J28" i="1" s="1"/>
  <c r="K28" i="1" s="1"/>
  <c r="J37" i="1"/>
  <c r="K31" i="1"/>
  <c r="M31" i="1" s="1"/>
  <c r="J17" i="1"/>
  <c r="M25" i="1"/>
  <c r="M32" i="1"/>
  <c r="J57" i="1" l="1"/>
  <c r="J58" i="1" s="1"/>
  <c r="J61" i="1"/>
  <c r="M17" i="1"/>
  <c r="J54" i="1"/>
  <c r="M21" i="1"/>
  <c r="J23" i="1"/>
  <c r="E42" i="1"/>
  <c r="E43" i="1"/>
  <c r="M40" i="1" s="1"/>
  <c r="E45" i="1"/>
  <c r="M42" i="1" s="1"/>
  <c r="J20" i="1"/>
  <c r="M20" i="1" s="1"/>
  <c r="M19" i="1"/>
  <c r="E44" i="1"/>
  <c r="M41" i="1" s="1"/>
  <c r="E46" i="1"/>
  <c r="M43" i="1" s="1"/>
  <c r="J22" i="1"/>
  <c r="E66" i="1"/>
  <c r="E67" i="1"/>
  <c r="J60" i="1"/>
  <c r="L41" i="1"/>
  <c r="C48" i="1" s="1"/>
  <c r="D48" i="1" s="1"/>
  <c r="M28" i="1"/>
  <c r="K24" i="1"/>
  <c r="M27" i="1"/>
  <c r="M26" i="1"/>
  <c r="M39" i="1"/>
  <c r="C50" i="1"/>
  <c r="J30" i="1"/>
  <c r="J29" i="1"/>
  <c r="M24" i="1" l="1"/>
  <c r="J56" i="1"/>
  <c r="K23" i="1"/>
  <c r="J55" i="1" s="1"/>
  <c r="M44" i="1"/>
  <c r="C52" i="1"/>
  <c r="K29" i="1"/>
  <c r="J51" i="1" s="1"/>
  <c r="K30" i="1"/>
  <c r="J52" i="1" s="1"/>
  <c r="M23" i="1" l="1"/>
  <c r="K22" i="1"/>
  <c r="M22" i="1" s="1"/>
  <c r="M30" i="1"/>
  <c r="M29" i="1"/>
  <c r="M35" i="1" l="1"/>
  <c r="M47" i="1" s="1"/>
  <c r="F61" i="1" s="1"/>
  <c r="J43" i="1" l="1"/>
  <c r="J42" i="1"/>
  <c r="J41" i="1"/>
</calcChain>
</file>

<file path=xl/sharedStrings.xml><?xml version="1.0" encoding="utf-8"?>
<sst xmlns="http://schemas.openxmlformats.org/spreadsheetml/2006/main" count="211" uniqueCount="163">
  <si>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</si>
  <si>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</si>
  <si>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</si>
  <si>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</si>
  <si>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</si>
  <si>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</si>
  <si>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</si>
  <si>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</si>
  <si>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</si>
  <si>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</si>
  <si>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</si>
  <si>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</si>
  <si>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</si>
  <si>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</si>
  <si>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</si>
  <si>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 xml:space="preserve">РАСЧЁТ ДВЕРЕЙ ARISTO NOVA </t>
  </si>
  <si>
    <t>Шлегель в паз вертикального профиля</t>
  </si>
  <si>
    <t>Количество узких средних рамок для одной двери</t>
  </si>
  <si>
    <t>Соединительная пластина</t>
  </si>
  <si>
    <t>артикул</t>
  </si>
  <si>
    <t xml:space="preserve">Направляющая верхняя </t>
  </si>
  <si>
    <t xml:space="preserve">Направляющая нижняя </t>
  </si>
  <si>
    <t>Выберите элемент соединения вставок двери:</t>
  </si>
  <si>
    <t>Саморез 2,9*19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</si>
  <si>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</si>
  <si>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</si>
  <si>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</si>
  <si>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</si>
  <si>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</si>
  <si>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</si>
  <si>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</si>
  <si>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</si>
  <si>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</si>
  <si>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Зеркало/Стекло 4 мм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</si>
  <si>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</si>
  <si>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</si>
  <si>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</si>
  <si>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</si>
  <si>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</si>
  <si>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</si>
  <si>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</si>
  <si>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</si>
  <si>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</si>
  <si>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</si>
  <si>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</si>
  <si>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</si>
  <si>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</si>
  <si>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</si>
  <si>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</si>
  <si>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да</t>
  </si>
  <si>
    <t>нет</t>
  </si>
  <si>
    <t>Уплотнитель полиуретановый на боковую поверхность двери</t>
  </si>
  <si>
    <t>Укажите высоту Вставки 5 (низ двери)</t>
  </si>
  <si>
    <t>Обязательно обработать кромки зеркала или стекла перед сборкой двери</t>
  </si>
  <si>
    <t>Шлегель</t>
  </si>
  <si>
    <t>Уплотнитель полиуретановый</t>
  </si>
  <si>
    <t>Шлегель на боковую поверхность двери</t>
  </si>
  <si>
    <t>Вес одной двери:</t>
  </si>
  <si>
    <t>Замок универсальный</t>
  </si>
  <si>
    <t>Количество перекрытий (перекрытие 12 мм)</t>
  </si>
  <si>
    <t>Стопор верхний</t>
  </si>
  <si>
    <t>Врезная нижняя направляющая</t>
  </si>
  <si>
    <t>Направляющая нижняя врезная</t>
  </si>
  <si>
    <t>** в расчетах веса двери не учитывается уклон пола помещения</t>
  </si>
  <si>
    <t>Видимый верхний трек</t>
  </si>
  <si>
    <t>Скрытый верхний трек, корпус</t>
  </si>
  <si>
    <t>Скрытый верхний трек, проем</t>
  </si>
  <si>
    <t>Выберите вариант установки дверей*</t>
  </si>
  <si>
    <t>Количество доводчиков на внутренних дверях, штук</t>
  </si>
  <si>
    <t>Количество доводчиков на внешних дверях, штук</t>
  </si>
  <si>
    <t>* Толщина деталей корпуса шкафа 16мм</t>
  </si>
  <si>
    <t>Варианты установки дверей</t>
  </si>
  <si>
    <t xml:space="preserve">* для варианта со скрытой верхней направляющей в корпус расчет по внутреннему проёму шкафа, зависит от наличия боковин и их толщины </t>
  </si>
  <si>
    <t>*** для варианта со скрытой верхней направляющей в корпус замок использовать совместно с доводчиками</t>
  </si>
  <si>
    <t>** Высота внутреннего проёма шкафа для варианта скрытого верхнего трека в корпус</t>
  </si>
  <si>
    <t>Высота проёма**</t>
  </si>
  <si>
    <t>Элемент для боковой поверхности двери***</t>
  </si>
  <si>
    <t>AS0504.VP540</t>
  </si>
  <si>
    <t>AS0690.VP540</t>
  </si>
  <si>
    <t>NB0487.VP540</t>
  </si>
  <si>
    <t>NB0442.VP540</t>
  </si>
  <si>
    <t>NB0486.VP540</t>
  </si>
  <si>
    <t>NB0638.VP540</t>
  </si>
  <si>
    <t>NB0485.VP540</t>
  </si>
  <si>
    <t>NA0480.VP540</t>
  </si>
  <si>
    <t>NB0651.VP540</t>
  </si>
  <si>
    <t>NB0505.VP540</t>
  </si>
  <si>
    <t>Ролики NOVA16, нижние</t>
  </si>
  <si>
    <t>Ролики NOVA16, верхние</t>
  </si>
  <si>
    <t>NB0165.VS000</t>
  </si>
  <si>
    <t>NA0169.VR000</t>
  </si>
  <si>
    <t>NA0166.VR000</t>
  </si>
  <si>
    <t>Кронштейн для внутренней двери</t>
  </si>
  <si>
    <t>NA0167.VR000</t>
  </si>
  <si>
    <t>Кронштейн для внешней двери</t>
  </si>
  <si>
    <t>Доводчики двери-купе универсальные**</t>
  </si>
  <si>
    <t>AA0230.VR000</t>
  </si>
  <si>
    <t>AA0250.VR000</t>
  </si>
  <si>
    <t>AA0270.VR000</t>
  </si>
  <si>
    <t>Пластина соединительная</t>
  </si>
  <si>
    <t>NA0205.VP000</t>
  </si>
  <si>
    <t>Замок универсальный для дверей-купе***</t>
  </si>
  <si>
    <t>AS0812.VP000</t>
  </si>
  <si>
    <t>AS0001.VP000</t>
  </si>
  <si>
    <t>AA0956.VM150</t>
  </si>
  <si>
    <t>AA0104.VM100</t>
  </si>
  <si>
    <t>AA0100.VM100</t>
  </si>
  <si>
    <t>Уплотнитель для нижней направляющей</t>
  </si>
  <si>
    <t>NA0206.VP000</t>
  </si>
  <si>
    <t>Уголок соединительный рамы под стекло</t>
  </si>
  <si>
    <t>NA0097.VM100</t>
  </si>
  <si>
    <t>Лента демпферная самоклеящаяся</t>
  </si>
  <si>
    <t>Выпрямитель накладной</t>
  </si>
  <si>
    <t>NA0208.VP200</t>
  </si>
  <si>
    <t>NA3995.VP000</t>
  </si>
  <si>
    <t>NA2919.VP000</t>
  </si>
  <si>
    <t>*** Не учитывается для варианта скрытого верхнего трека в корпус</t>
  </si>
  <si>
    <t>AS0713.VP540</t>
  </si>
  <si>
    <t>Цвет профиля</t>
  </si>
  <si>
    <t>Серебро матовое</t>
  </si>
  <si>
    <t>Белый глянец</t>
  </si>
  <si>
    <t>Черный матовый</t>
  </si>
  <si>
    <t>Алюминий</t>
  </si>
  <si>
    <t xml:space="preserve">Вертикальный профиль </t>
  </si>
  <si>
    <t xml:space="preserve">Рамка горизонтальная узкая </t>
  </si>
  <si>
    <t xml:space="preserve">Рамка средняя закрытая (делитель двери) </t>
  </si>
  <si>
    <t>Вставка ЛДСП в открытую рамку</t>
  </si>
  <si>
    <t>Кол-во</t>
  </si>
  <si>
    <t xml:space="preserve">Усилитель вертикальный </t>
  </si>
  <si>
    <t xml:space="preserve">Рамка средняя открытая (делитель двери) </t>
  </si>
  <si>
    <t>Профиль вкладка</t>
  </si>
  <si>
    <t>NB0745.VP540</t>
  </si>
  <si>
    <t>Вкладная перегородка</t>
  </si>
  <si>
    <t>NA0035.VP000</t>
  </si>
  <si>
    <t>Соединительный профиль</t>
  </si>
  <si>
    <t>Узкий профиль для зеркала/стекла вертикальный вставка 1</t>
  </si>
  <si>
    <t>Узкий профиль для зеркала/стекла вертикальный вставка 2</t>
  </si>
  <si>
    <t>Узкий профиль для зеркала/стекла вертикальный вставка 3</t>
  </si>
  <si>
    <t>Узкий профиль для зеркала/стекла вертикальный вставка 4</t>
  </si>
  <si>
    <t>Узкий профиль для зеркала/стекла вертикальный вставка 5</t>
  </si>
  <si>
    <t>Ручка врезная NOVA, L=200</t>
  </si>
  <si>
    <t>Винт с потайной головкой, M3X12</t>
  </si>
  <si>
    <t>NA0312.VP000</t>
  </si>
  <si>
    <t>NA0316.VP000</t>
  </si>
  <si>
    <t>Винт с потайной головкой, M3X16</t>
  </si>
  <si>
    <t>Широкий профиль для зеркала/стекла горизонтальный</t>
  </si>
  <si>
    <t>Узкий профиль для зеркала/стекла горизонтальный</t>
  </si>
  <si>
    <t>Саморез 3,9*13 мм с полукруглой головкой</t>
  </si>
  <si>
    <t>NA3913.VP000</t>
  </si>
  <si>
    <t>Ручка врезная в полотно L=200 мм, в сборе (количество ручек для одной двери)</t>
  </si>
  <si>
    <t>Вставка между ручками в широкой открытой рамке с ручками</t>
  </si>
  <si>
    <t>Ручка внутри открытой рамки (длина, количество ручек для одной двери)</t>
  </si>
  <si>
    <t>ЛДСП 8/10 мм</t>
  </si>
  <si>
    <t xml:space="preserve">Рамка средняя закрытая (совместно с ручкой) </t>
  </si>
  <si>
    <t>Вставка в широкой открытой рамке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</si>
  <si>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 (включая с ручками)</t>
    </r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</si>
  <si>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открытых</t>
    </r>
    <r>
      <rPr>
        <sz val="14"/>
        <color theme="1"/>
        <rFont val="Calibri"/>
        <family val="2"/>
        <scheme val="minor"/>
      </rPr>
      <t xml:space="preserve"> средних рамок (включая с ручками)</t>
    </r>
  </si>
  <si>
    <t>Профиль вкладка (между ручками)</t>
  </si>
  <si>
    <t>Вставка ЛДСП между ручками</t>
  </si>
  <si>
    <t>NA0209.VP000</t>
  </si>
  <si>
    <t>Пластина для выпрямителя</t>
  </si>
  <si>
    <t>Ручка совместно с закрытой рамкой L=200 мм, в сборе (кол-во ручек для одной двери)</t>
  </si>
  <si>
    <t>NA0204.VP200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</si>
</sst>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комп.&quot;"/>
    <numFmt numFmtId="169" formatCode="#,##0&quot; кг.&quot;"/>
    <numFmt numFmtId="170" formatCode="#,##0&quot; шт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69" fontId="2" fillId="0" borderId="26" xfId="0" applyNumberFormat="1" applyFont="1" applyBorder="1" applyAlignment="1" applyProtection="1">
      <alignment vertical="center"/>
    </xf>
    <xf numFmtId="0" fontId="2" fillId="0" borderId="0" xfId="0" applyFont="1" applyProtection="1"/>
    <xf numFmtId="14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167" fontId="10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0" fillId="0" borderId="1" xfId="0" applyFont="1" applyBorder="1" applyAlignment="1" applyProtection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2" fillId="2" borderId="2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2" fillId="0" borderId="26" xfId="0" applyFont="1" applyBorder="1" applyProtection="1"/>
    <xf numFmtId="0" fontId="2" fillId="3" borderId="26" xfId="0" applyFont="1" applyFill="1" applyBorder="1" applyProtection="1"/>
    <xf numFmtId="0" fontId="0" fillId="0" borderId="0" xfId="0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13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Fill="1" applyBorder="1" applyProtection="1"/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70" fontId="2" fillId="0" borderId="10" xfId="0" applyNumberFormat="1" applyFont="1" applyBorder="1" applyAlignment="1" applyProtection="1">
      <alignment horizontal="center" vertical="center"/>
    </xf>
    <xf numFmtId="170" fontId="2" fillId="0" borderId="7" xfId="0" applyNumberFormat="1" applyFont="1" applyBorder="1" applyAlignment="1" applyProtection="1">
      <alignment horizontal="center" vertical="center"/>
    </xf>
    <xf numFmtId="0" fontId="5" fillId="0" borderId="6" xfId="0" applyFont="1" applyFill="1" applyBorder="1" applyProtection="1"/>
    <xf numFmtId="0" fontId="2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70" fontId="3" fillId="0" borderId="15" xfId="0" applyNumberFormat="1" applyFont="1" applyFill="1" applyBorder="1" applyAlignment="1" applyProtection="1">
      <alignment horizontal="center" vertical="center"/>
    </xf>
    <xf numFmtId="170" fontId="3" fillId="0" borderId="18" xfId="0" applyNumberFormat="1" applyFont="1" applyBorder="1" applyAlignment="1" applyProtection="1">
      <alignment horizontal="center" vertical="center"/>
    </xf>
    <xf numFmtId="170" fontId="3" fillId="0" borderId="18" xfId="0" applyNumberFormat="1" applyFont="1" applyFill="1" applyBorder="1" applyAlignment="1" applyProtection="1">
      <alignment horizontal="center" vertical="center"/>
    </xf>
    <xf numFmtId="170" fontId="3" fillId="0" borderId="10" xfId="0" applyNumberFormat="1" applyFont="1" applyFill="1" applyBorder="1" applyAlignment="1" applyProtection="1">
      <alignment horizontal="center" vertical="center"/>
    </xf>
    <xf numFmtId="170" fontId="2" fillId="0" borderId="7" xfId="0" applyNumberFormat="1" applyFont="1" applyFill="1" applyBorder="1" applyAlignment="1" applyProtection="1">
      <alignment horizontal="center" vertical="center"/>
    </xf>
    <xf numFmtId="170" fontId="3" fillId="0" borderId="10" xfId="0" applyNumberFormat="1" applyFont="1" applyFill="1" applyBorder="1" applyAlignment="1" applyProtection="1">
      <alignment horizontal="center" vertical="center" wrapText="1"/>
    </xf>
    <xf numFmtId="170" fontId="3" fillId="0" borderId="10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9" xfId="0" applyFont="1" applyFill="1" applyBorder="1" applyProtection="1"/>
    <xf numFmtId="0" fontId="2" fillId="0" borderId="9" xfId="0" applyFont="1" applyBorder="1" applyProtection="1"/>
    <xf numFmtId="0" fontId="2" fillId="0" borderId="11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vertical="center"/>
    </xf>
    <xf numFmtId="167" fontId="10" fillId="0" borderId="6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70" fontId="3" fillId="0" borderId="7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170" fontId="3" fillId="0" borderId="10" xfId="0" applyNumberFormat="1" applyFont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Protection="1"/>
    <xf numFmtId="170" fontId="2" fillId="0" borderId="10" xfId="0" applyNumberFormat="1" applyFont="1" applyFill="1" applyBorder="1" applyAlignment="1" applyProtection="1">
      <alignment horizontal="center" vertical="center"/>
    </xf>
    <xf numFmtId="170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70" fontId="3" fillId="0" borderId="1" xfId="0" applyNumberFormat="1" applyFont="1" applyFill="1" applyBorder="1" applyAlignment="1" applyProtection="1">
      <alignment horizontal="center" vertical="center" wrapText="1"/>
    </xf>
    <xf numFmtId="170" fontId="0" fillId="0" borderId="10" xfId="0" applyNumberFormat="1" applyFill="1" applyBorder="1" applyAlignment="1" applyProtection="1">
      <alignment horizontal="center" vertical="center" wrapText="1"/>
    </xf>
    <xf numFmtId="170" fontId="3" fillId="0" borderId="10" xfId="0" applyNumberFormat="1" applyFont="1" applyFill="1" applyBorder="1" applyAlignment="1" applyProtection="1">
      <alignment horizontal="center" vertical="center" wrapText="1"/>
    </xf>
    <xf numFmtId="170" fontId="3" fillId="0" borderId="1" xfId="0" applyNumberFormat="1" applyFont="1" applyBorder="1" applyAlignment="1" applyProtection="1">
      <alignment horizontal="center" vertical="center" wrapText="1"/>
    </xf>
    <xf numFmtId="170" fontId="12" fillId="0" borderId="10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0" fillId="0" borderId="10" xfId="0" applyNumberFormat="1" applyBorder="1" applyAlignment="1" applyProtection="1">
      <alignment horizontal="center" vertical="center" wrapText="1"/>
    </xf>
    <xf numFmtId="170" fontId="3" fillId="0" borderId="1" xfId="0" applyNumberFormat="1" applyFont="1" applyBorder="1" applyAlignment="1" applyProtection="1">
      <alignment horizontal="center"/>
    </xf>
    <xf numFmtId="170" fontId="3" fillId="0" borderId="10" xfId="0" applyNumberFormat="1" applyFont="1" applyBorder="1" applyAlignment="1" applyProtection="1">
      <alignment horizontal="center"/>
    </xf>
    <xf numFmtId="168" fontId="3" fillId="0" borderId="1" xfId="0" applyNumberFormat="1" applyFont="1" applyBorder="1" applyAlignment="1" applyProtection="1">
      <alignment horizontal="center" vertical="center" wrapText="1"/>
    </xf>
    <xf numFmtId="168" fontId="0" fillId="0" borderId="10" xfId="0" applyNumberFormat="1" applyBorder="1" applyAlignment="1" applyProtection="1">
      <alignment horizontal="center" vertical="center" wrapText="1"/>
    </xf>
    <xf numFmtId="168" fontId="3" fillId="0" borderId="10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 vertical="center"/>
    </xf>
    <xf numFmtId="168" fontId="3" fillId="0" borderId="10" xfId="0" applyNumberFormat="1" applyFont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/>
    </xf>
    <xf numFmtId="0" fontId="11" fillId="0" borderId="29" xfId="0" applyFont="1" applyBorder="1" applyAlignment="1" applyProtection="1">
      <alignment horizontal="left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14" fillId="0" borderId="30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2" fillId="0" borderId="0" xfId="0" applyFont="1" applyBorder="1" applyAlignment="1" applyProtection="1">
      <alignment horizontal="left" vertical="top" wrapText="1"/>
    </xf>
    <xf numFmtId="165" fontId="3" fillId="0" borderId="1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170" fontId="15" fillId="0" borderId="1" xfId="0" applyNumberFormat="1" applyFont="1" applyFill="1" applyBorder="1" applyAlignment="1" applyProtection="1">
      <alignment horizontal="center"/>
    </xf>
    <xf numFmtId="170" fontId="15" fillId="0" borderId="10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170" fontId="0" fillId="0" borderId="10" xfId="0" applyNumberFormat="1" applyBorder="1" applyAlignment="1" applyProtection="1">
      <alignment horizontal="center" vertical="center" wrapText="1"/>
    </xf>
    <xf numFmtId="170" fontId="3" fillId="0" borderId="1" xfId="0" applyNumberFormat="1" applyFont="1" applyBorder="1" applyAlignment="1" applyProtection="1">
      <alignment horizontal="center" vertical="center"/>
    </xf>
    <xf numFmtId="170" fontId="3" fillId="0" borderId="10" xfId="0" applyNumberFormat="1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/>
    </xf>
    <xf numFmtId="0" fontId="2" fillId="3" borderId="27" xfId="0" applyFont="1" applyFill="1" applyBorder="1" applyAlignment="1" applyProtection="1">
      <alignment horizontal="left" vertical="top"/>
      <protection locked="0"/>
    </xf>
    <xf numFmtId="0" fontId="2" fillId="3" borderId="24" xfId="0" applyFont="1" applyFill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382090</xdr:colOff>
      <xdr:row>74</xdr:row>
      <xdr:rowOff>185056</xdr:rowOff>
    </xdr:from>
    <xdr:to>
      <xdr:col>1</xdr:col>
      <xdr:colOff>2457937</xdr:colOff>
      <xdr:row>105</xdr:row>
      <xdr:rowOff>173403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76" y="17787256"/>
          <a:ext cx="2075847" cy="7074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46</xdr:row>
      <xdr:rowOff>190503</xdr:rowOff>
    </xdr:from>
    <xdr:to>
      <xdr:col>1</xdr:col>
      <xdr:colOff>1973036</xdr:colOff>
      <xdr:row>59</xdr:row>
      <xdr:rowOff>226953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  <xdr:twoCellAnchor editAs="oneCell">
    <xdr:from>
      <xdr:col>2</xdr:col>
      <xdr:colOff>2035628</xdr:colOff>
      <xdr:row>74</xdr:row>
      <xdr:rowOff>206829</xdr:rowOff>
    </xdr:from>
    <xdr:to>
      <xdr:col>7</xdr:col>
      <xdr:colOff>424542</xdr:colOff>
      <xdr:row>105</xdr:row>
      <xdr:rowOff>119733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85" y="17787258"/>
          <a:ext cx="4637314" cy="6999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4996544</xdr:colOff>
      <xdr:row>75</xdr:row>
      <xdr:rowOff>1</xdr:rowOff>
    </xdr:from>
    <xdr:to>
      <xdr:col>10</xdr:col>
      <xdr:colOff>674915</xdr:colOff>
      <xdr:row>104</xdr:row>
      <xdr:rowOff>185437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7830801"/>
          <a:ext cx="4169228" cy="6814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66"/>
  <sheetViews>
    <sheetView tabSelected="1" zoomScale="70" zoomScaleNormal="70" workbookViewId="0">
      <selection activeCell="D7" sqref="D7:F7"/>
    </sheetView>
  </sheetViews>
  <sheetFormatPr defaultColWidth="9.109375" defaultRowHeight="18" x14ac:dyDescent="0.35"/>
  <cols>
    <col min="1" max="1" width="4.6640625" style="21" customWidth="1"/>
    <col min="2" max="3" width="43.6640625" style="21" customWidth="1"/>
    <col min="4" max="5" width="14.6640625" style="23" customWidth="1"/>
    <col min="6" max="6" width="14.6640625" style="64" customWidth="1"/>
    <col min="7" max="7" width="3.6640625" style="21" customWidth="1"/>
    <col min="8" max="8" width="85.5546875" style="21" customWidth="1"/>
    <col min="9" max="9" width="20.6640625" style="21" customWidth="1"/>
    <col min="10" max="11" width="17.6640625" style="21" customWidth="1"/>
    <col min="12" max="12" width="10.33203125" style="21" hidden="1" customWidth="1"/>
    <col min="13" max="13" width="12.77734375" style="21" hidden="1" customWidth="1"/>
    <col min="14" max="14" width="9.109375" style="21" hidden="1" customWidth="1"/>
    <col min="15" max="15" width="48.5546875" style="21" hidden="1" customWidth="1"/>
    <col min="16" max="16" width="17.109375" style="21" hidden="1" customWidth="1"/>
    <col min="17" max="20" width="9.109375" style="21" hidden="1" customWidth="1"/>
    <col min="21" max="22" width="9.109375" style="21" customWidth="1"/>
    <col min="23" max="16384" width="9.109375" style="21"/>
  </cols>
  <sheetData>
    <row r="1" spans="2:18" x14ac:dyDescent="0.35">
      <c r="C1" s="22"/>
    </row>
    <row r="2" spans="2:18" s="18" customFormat="1" ht="27.6" customHeight="1" x14ac:dyDescent="0.3">
      <c r="B2" s="129" t="s">
        <v>15</v>
      </c>
      <c r="C2" s="129"/>
      <c r="D2" s="129"/>
      <c r="E2" s="129"/>
      <c r="F2" s="129"/>
      <c r="G2" s="129"/>
      <c r="H2" s="129"/>
      <c r="I2" s="129"/>
      <c r="J2" s="129"/>
      <c r="K2" s="129"/>
      <c r="O2" s="24" t="s">
        <v>21</v>
      </c>
      <c r="P2" s="18" t="s">
        <v>77</v>
      </c>
    </row>
    <row r="3" spans="2:18" s="24" customFormat="1" ht="26.1" customHeight="1" x14ac:dyDescent="0.3">
      <c r="B3" s="129"/>
      <c r="C3" s="129"/>
      <c r="D3" s="129"/>
      <c r="E3" s="129"/>
      <c r="F3" s="129"/>
      <c r="G3" s="129"/>
      <c r="H3" s="129"/>
      <c r="I3" s="129"/>
      <c r="J3" s="129"/>
      <c r="K3" s="129"/>
      <c r="O3" s="24" t="s">
        <v>62</v>
      </c>
      <c r="P3" s="18" t="s">
        <v>78</v>
      </c>
      <c r="R3" s="24" t="s">
        <v>64</v>
      </c>
    </row>
    <row r="4" spans="2:18" s="24" customFormat="1" ht="20.100000000000001" customHeight="1" x14ac:dyDescent="0.35">
      <c r="C4" s="25"/>
      <c r="D4" s="25"/>
      <c r="E4" s="25"/>
      <c r="F4" s="25"/>
      <c r="H4" s="26"/>
      <c r="I4" s="26"/>
      <c r="J4" s="26"/>
      <c r="K4" s="26"/>
      <c r="R4" s="24" t="s">
        <v>65</v>
      </c>
    </row>
    <row r="5" spans="2:18" s="24" customFormat="1" ht="20.100000000000001" customHeight="1" x14ac:dyDescent="0.3">
      <c r="B5" s="130" t="s">
        <v>10</v>
      </c>
      <c r="C5" s="130"/>
      <c r="D5" s="130"/>
      <c r="E5" s="130"/>
      <c r="F5" s="63"/>
      <c r="H5" s="130" t="s">
        <v>9</v>
      </c>
      <c r="I5" s="130"/>
      <c r="J5" s="130"/>
      <c r="K5" s="130"/>
      <c r="R5" s="24" t="s">
        <v>66</v>
      </c>
    </row>
    <row r="6" spans="2:18" s="18" customFormat="1" ht="20.100000000000001" customHeight="1" thickBot="1" x14ac:dyDescent="0.35">
      <c r="C6" s="27"/>
      <c r="D6" s="27"/>
      <c r="E6" s="27"/>
      <c r="F6" s="27"/>
      <c r="G6" s="24"/>
      <c r="H6" s="27"/>
      <c r="I6" s="27"/>
      <c r="J6" s="27"/>
      <c r="K6" s="27"/>
    </row>
    <row r="7" spans="2:18" s="18" customFormat="1" ht="20.100000000000001" customHeight="1" thickBot="1" x14ac:dyDescent="0.35">
      <c r="B7" s="139" t="s">
        <v>67</v>
      </c>
      <c r="C7" s="140"/>
      <c r="D7" s="141" t="s">
        <v>66</v>
      </c>
      <c r="E7" s="142"/>
      <c r="F7" s="143"/>
      <c r="H7" s="131" t="s">
        <v>6</v>
      </c>
      <c r="I7" s="132"/>
      <c r="J7" s="28" t="s">
        <v>4</v>
      </c>
      <c r="K7" s="1">
        <f>IF(AND(D7=R3,E25=O21),E9-45,IF(AND(D7=R3,E25=O20),E9-39,
IF(AND(D7=R4,E25=O21),E9+6,IF(AND(D7=R4,E25=O20),E9+12,
IF(AND(D7=R5,E25=O21),E9-32,IF(AND(D7=R5,E25=O20),E9-26))))))</f>
        <v>2568</v>
      </c>
    </row>
    <row r="8" spans="2:18" s="18" customFormat="1" ht="20.100000000000001" customHeight="1" thickBot="1" x14ac:dyDescent="0.35">
      <c r="H8" s="133"/>
      <c r="I8" s="134"/>
      <c r="J8" s="29" t="s">
        <v>5</v>
      </c>
      <c r="K8" s="69">
        <f>ROUNDUP(IF(AND(OR(E27=O57,E27=O58),E11=O48,D7&lt;&gt;R4),(E10-20+E14*12)/E13,
IF(AND(OR(E27=O57,E27=O58),E11&lt;&gt;O48,D7&lt;&gt;R4),(E10-10+E14*12)/E13,(E10+E14*12)/E13)),0)</f>
        <v>1006</v>
      </c>
      <c r="R8" s="18" t="s">
        <v>119</v>
      </c>
    </row>
    <row r="9" spans="2:18" s="18" customFormat="1" ht="20.100000000000001" customHeight="1" x14ac:dyDescent="0.3">
      <c r="B9" s="148" t="s">
        <v>75</v>
      </c>
      <c r="C9" s="149"/>
      <c r="D9" s="149"/>
      <c r="E9" s="144">
        <v>2600</v>
      </c>
      <c r="F9" s="145"/>
      <c r="H9" s="30"/>
      <c r="I9" s="30"/>
      <c r="J9" s="31"/>
      <c r="K9" s="13"/>
      <c r="L9" s="70"/>
      <c r="R9" s="18" t="s">
        <v>120</v>
      </c>
    </row>
    <row r="10" spans="2:18" s="18" customFormat="1" ht="20.100000000000001" customHeight="1" thickBot="1" x14ac:dyDescent="0.35">
      <c r="B10" s="150" t="s">
        <v>14</v>
      </c>
      <c r="C10" s="151"/>
      <c r="D10" s="151"/>
      <c r="E10" s="146">
        <v>2000</v>
      </c>
      <c r="F10" s="147"/>
      <c r="H10" s="30"/>
      <c r="I10" s="30"/>
      <c r="J10" s="31"/>
      <c r="K10" s="3"/>
      <c r="O10" s="18" t="s">
        <v>41</v>
      </c>
      <c r="R10" s="18" t="s">
        <v>121</v>
      </c>
    </row>
    <row r="11" spans="2:18" s="18" customFormat="1" ht="20.100000000000001" customHeight="1" x14ac:dyDescent="0.35">
      <c r="B11" s="150" t="s">
        <v>47</v>
      </c>
      <c r="C11" s="151"/>
      <c r="D11" s="151"/>
      <c r="E11" s="146" t="s">
        <v>42</v>
      </c>
      <c r="F11" s="147"/>
      <c r="H11" s="135" t="s">
        <v>48</v>
      </c>
      <c r="I11" s="136"/>
      <c r="J11" s="32" t="s">
        <v>11</v>
      </c>
      <c r="K11" s="1">
        <f>ROUNDDOWN(K7-1.6*E17-26*E18-3.5*2-26*E19,0)</f>
        <v>2561</v>
      </c>
      <c r="L11" s="59"/>
      <c r="O11" s="18" t="s">
        <v>18</v>
      </c>
    </row>
    <row r="12" spans="2:18" s="18" customFormat="1" ht="20.100000000000001" customHeight="1" thickBot="1" x14ac:dyDescent="0.35">
      <c r="B12" s="150" t="s">
        <v>118</v>
      </c>
      <c r="C12" s="151"/>
      <c r="D12" s="151"/>
      <c r="E12" s="146" t="s">
        <v>119</v>
      </c>
      <c r="F12" s="147"/>
      <c r="H12" s="137"/>
      <c r="I12" s="138"/>
      <c r="J12" s="29" t="s">
        <v>5</v>
      </c>
      <c r="K12" s="2">
        <f>K8-4</f>
        <v>1002</v>
      </c>
      <c r="R12" s="18" t="s">
        <v>50</v>
      </c>
    </row>
    <row r="13" spans="2:18" s="18" customFormat="1" ht="20.100000000000001" customHeight="1" thickBot="1" x14ac:dyDescent="0.35">
      <c r="B13" s="150" t="s">
        <v>0</v>
      </c>
      <c r="C13" s="151"/>
      <c r="D13" s="151"/>
      <c r="E13" s="169">
        <f>IF(E11=O45,2,IF(E11=O46,3,IF(E11=O47,4,IF(E11=O48,4,IF(E11=O49,5)))))</f>
        <v>2</v>
      </c>
      <c r="F13" s="170"/>
      <c r="H13" s="30"/>
      <c r="I13" s="30"/>
      <c r="J13" s="33"/>
      <c r="K13" s="34"/>
      <c r="R13" s="18" t="s">
        <v>122</v>
      </c>
    </row>
    <row r="14" spans="2:18" s="18" customFormat="1" ht="20.100000000000001" customHeight="1" x14ac:dyDescent="0.3">
      <c r="B14" s="119" t="s">
        <v>59</v>
      </c>
      <c r="C14" s="120"/>
      <c r="D14" s="120"/>
      <c r="E14" s="169">
        <f>IF(E11=O45,1,IF(E11=O46,2,IF(E11=O47,3,IF(E11=O48,2,IF(E11=O49,4)))))</f>
        <v>1</v>
      </c>
      <c r="F14" s="170"/>
      <c r="H14" s="35" t="s">
        <v>1</v>
      </c>
      <c r="I14" s="36" t="s">
        <v>19</v>
      </c>
      <c r="J14" s="28" t="s">
        <v>2</v>
      </c>
      <c r="K14" s="37" t="s">
        <v>3</v>
      </c>
      <c r="R14" s="18" t="s">
        <v>152</v>
      </c>
    </row>
    <row r="15" spans="2:18" s="18" customFormat="1" ht="20.100000000000001" customHeight="1" x14ac:dyDescent="0.35">
      <c r="B15" s="150" t="s">
        <v>68</v>
      </c>
      <c r="C15" s="151"/>
      <c r="D15" s="151"/>
      <c r="E15" s="121">
        <v>0</v>
      </c>
      <c r="F15" s="122"/>
      <c r="H15" s="38" t="s">
        <v>20</v>
      </c>
      <c r="I15" s="39" t="s">
        <v>117</v>
      </c>
      <c r="J15" s="6">
        <f>IF(D7=R4,E10-2-32,E10-2)</f>
        <v>1998</v>
      </c>
      <c r="K15" s="82">
        <v>1</v>
      </c>
      <c r="M15" s="40"/>
      <c r="O15" s="18" t="s">
        <v>32</v>
      </c>
    </row>
    <row r="16" spans="2:18" s="18" customFormat="1" ht="20.100000000000001" customHeight="1" x14ac:dyDescent="0.35">
      <c r="B16" s="150" t="s">
        <v>69</v>
      </c>
      <c r="C16" s="151"/>
      <c r="D16" s="151"/>
      <c r="E16" s="121">
        <v>0</v>
      </c>
      <c r="F16" s="122"/>
      <c r="H16" s="38" t="str">
        <f>IF(E25=O21,O2,O3)</f>
        <v xml:space="preserve">Направляющая нижняя </v>
      </c>
      <c r="I16" s="39" t="str">
        <f>IF(E25=O21,P2,P3)</f>
        <v>AS0504.VP540</v>
      </c>
      <c r="J16" s="6">
        <f>E10-2</f>
        <v>1998</v>
      </c>
      <c r="K16" s="82">
        <f>IF(E25=O21,1,2)</f>
        <v>1</v>
      </c>
      <c r="M16" s="40"/>
      <c r="O16" s="18" t="s">
        <v>33</v>
      </c>
    </row>
    <row r="17" spans="2:15" s="18" customFormat="1" ht="20.100000000000001" customHeight="1" x14ac:dyDescent="0.35">
      <c r="B17" s="167" t="s">
        <v>17</v>
      </c>
      <c r="C17" s="168"/>
      <c r="D17" s="168"/>
      <c r="E17" s="121">
        <v>0</v>
      </c>
      <c r="F17" s="122"/>
      <c r="H17" s="15" t="s">
        <v>123</v>
      </c>
      <c r="I17" s="39" t="s">
        <v>79</v>
      </c>
      <c r="J17" s="4">
        <f>K7</f>
        <v>2568</v>
      </c>
      <c r="K17" s="88">
        <f>E13*2</f>
        <v>4</v>
      </c>
      <c r="L17" s="18">
        <v>0.29799999999999999</v>
      </c>
      <c r="M17" s="40">
        <f t="shared" ref="M17:M18" si="0">J17*L17*K17/1000</f>
        <v>3.0610560000000002</v>
      </c>
    </row>
    <row r="18" spans="2:15" s="18" customFormat="1" ht="20.100000000000001" customHeight="1" x14ac:dyDescent="0.35">
      <c r="B18" s="167" t="s">
        <v>155</v>
      </c>
      <c r="C18" s="168"/>
      <c r="D18" s="168"/>
      <c r="E18" s="121">
        <v>0</v>
      </c>
      <c r="F18" s="122"/>
      <c r="H18" s="15" t="s">
        <v>124</v>
      </c>
      <c r="I18" s="39" t="s">
        <v>80</v>
      </c>
      <c r="J18" s="4">
        <f>K8-2*5</f>
        <v>996</v>
      </c>
      <c r="K18" s="88">
        <f>(E17+2)*E13</f>
        <v>4</v>
      </c>
      <c r="L18" s="18">
        <v>6.8000000000000005E-2</v>
      </c>
      <c r="M18" s="40">
        <f t="shared" si="0"/>
        <v>0.27091200000000004</v>
      </c>
    </row>
    <row r="19" spans="2:15" s="18" customFormat="1" ht="20.100000000000001" customHeight="1" x14ac:dyDescent="0.35">
      <c r="B19" s="167" t="s">
        <v>156</v>
      </c>
      <c r="C19" s="168"/>
      <c r="D19" s="168"/>
      <c r="E19" s="121">
        <v>0</v>
      </c>
      <c r="F19" s="122"/>
      <c r="H19" s="15" t="s">
        <v>125</v>
      </c>
      <c r="I19" s="41" t="s">
        <v>81</v>
      </c>
      <c r="J19" s="4">
        <f>IF(K19&lt;&gt;0,J18,0)</f>
        <v>0</v>
      </c>
      <c r="K19" s="88">
        <f>E18*E13-K20</f>
        <v>0</v>
      </c>
      <c r="L19" s="18">
        <v>0.30499999999999999</v>
      </c>
      <c r="M19" s="40">
        <f>J19*L19*K19/1000</f>
        <v>0</v>
      </c>
    </row>
    <row r="20" spans="2:15" s="18" customFormat="1" ht="20.100000000000001" customHeight="1" x14ac:dyDescent="0.35">
      <c r="B20" s="150" t="s">
        <v>151</v>
      </c>
      <c r="C20" s="151"/>
      <c r="D20" s="151"/>
      <c r="E20" s="68">
        <v>200</v>
      </c>
      <c r="F20" s="67">
        <v>0</v>
      </c>
      <c r="H20" s="15" t="s">
        <v>153</v>
      </c>
      <c r="I20" s="41" t="s">
        <v>81</v>
      </c>
      <c r="J20" s="4">
        <f>IF(K20&lt;&gt;0,J18-200*E21,0)</f>
        <v>0</v>
      </c>
      <c r="K20" s="100">
        <f>IF(E21&gt;0,E13,0)</f>
        <v>0</v>
      </c>
      <c r="L20" s="18">
        <v>0.30499999999999999</v>
      </c>
      <c r="M20" s="40">
        <f>J20*L20*K20/1000</f>
        <v>0</v>
      </c>
      <c r="O20" s="18" t="s">
        <v>49</v>
      </c>
    </row>
    <row r="21" spans="2:15" s="18" customFormat="1" ht="20.100000000000001" customHeight="1" x14ac:dyDescent="0.35">
      <c r="B21" s="150" t="s">
        <v>161</v>
      </c>
      <c r="C21" s="151"/>
      <c r="D21" s="151"/>
      <c r="E21" s="171">
        <v>0</v>
      </c>
      <c r="F21" s="172"/>
      <c r="H21" s="15" t="s">
        <v>129</v>
      </c>
      <c r="I21" s="42" t="s">
        <v>83</v>
      </c>
      <c r="J21" s="5">
        <f>IF(K21&lt;&gt;0,J18,0)</f>
        <v>0</v>
      </c>
      <c r="K21" s="83">
        <f>E19*E13</f>
        <v>0</v>
      </c>
      <c r="L21" s="18">
        <v>0.29499999999999998</v>
      </c>
      <c r="M21" s="40">
        <f t="shared" ref="M21" si="1">J21*L21*K21/1000</f>
        <v>0</v>
      </c>
      <c r="O21" s="18" t="s">
        <v>50</v>
      </c>
    </row>
    <row r="22" spans="2:15" s="18" customFormat="1" ht="20.100000000000001" customHeight="1" x14ac:dyDescent="0.35">
      <c r="B22" s="150" t="s">
        <v>149</v>
      </c>
      <c r="C22" s="151"/>
      <c r="D22" s="151"/>
      <c r="E22" s="171">
        <v>0</v>
      </c>
      <c r="F22" s="172"/>
      <c r="H22" s="15" t="s">
        <v>130</v>
      </c>
      <c r="I22" s="71" t="s">
        <v>131</v>
      </c>
      <c r="J22" s="8">
        <f>IF(AND(E23=R13,E19&gt;1),J21-10,0)</f>
        <v>0</v>
      </c>
      <c r="K22" s="85">
        <f>IF(J22&lt;&gt;0,E19*E13-K23,0)</f>
        <v>0</v>
      </c>
      <c r="L22" s="18">
        <v>0.16400000000000001</v>
      </c>
      <c r="M22" s="40">
        <f t="shared" ref="M22:M34" si="2">J22*L22*K22/1000</f>
        <v>0</v>
      </c>
    </row>
    <row r="23" spans="2:15" s="18" customFormat="1" ht="20.100000000000001" customHeight="1" x14ac:dyDescent="0.35">
      <c r="B23" s="167" t="s">
        <v>154</v>
      </c>
      <c r="C23" s="168"/>
      <c r="D23" s="168"/>
      <c r="E23" s="121" t="s">
        <v>50</v>
      </c>
      <c r="F23" s="122"/>
      <c r="H23" s="15" t="s">
        <v>157</v>
      </c>
      <c r="I23" s="71" t="s">
        <v>131</v>
      </c>
      <c r="J23" s="8">
        <f>IF(AND(E24=R13,F20&gt;0),J21-10-(E20-5)*F20,0)</f>
        <v>0</v>
      </c>
      <c r="K23" s="85">
        <f>IF(J23&lt;&gt;0,E13,0)</f>
        <v>0</v>
      </c>
      <c r="L23" s="18">
        <v>0.16400000000000001</v>
      </c>
      <c r="M23" s="40">
        <f t="shared" si="2"/>
        <v>0</v>
      </c>
    </row>
    <row r="24" spans="2:15" s="18" customFormat="1" ht="20.100000000000001" customHeight="1" x14ac:dyDescent="0.35">
      <c r="B24" s="167" t="s">
        <v>150</v>
      </c>
      <c r="C24" s="168"/>
      <c r="D24" s="168"/>
      <c r="E24" s="121" t="s">
        <v>50</v>
      </c>
      <c r="F24" s="122"/>
      <c r="H24" s="15" t="s">
        <v>128</v>
      </c>
      <c r="I24" s="41" t="s">
        <v>82</v>
      </c>
      <c r="J24" s="5">
        <f>IF(E29=O21,K7-20,0)</f>
        <v>2548</v>
      </c>
      <c r="K24" s="83">
        <f>IF(J24&lt;&gt;0,IF(K8&lt;1000,E13*2,E13*3),0)</f>
        <v>6</v>
      </c>
      <c r="L24" s="18">
        <v>0.41299999999999998</v>
      </c>
      <c r="M24" s="40">
        <f t="shared" si="2"/>
        <v>6.3139439999999993</v>
      </c>
    </row>
    <row r="25" spans="2:15" s="18" customFormat="1" ht="20.100000000000001" customHeight="1" x14ac:dyDescent="0.35">
      <c r="B25" s="119" t="s">
        <v>61</v>
      </c>
      <c r="C25" s="120"/>
      <c r="D25" s="120"/>
      <c r="E25" s="121" t="s">
        <v>50</v>
      </c>
      <c r="F25" s="122"/>
      <c r="H25" s="58" t="s">
        <v>134</v>
      </c>
      <c r="I25" s="39" t="s">
        <v>84</v>
      </c>
      <c r="J25" s="8">
        <f>IF(AND(B36=O10,OR(E17&lt;&gt;0,E18&lt;&gt;0,E19&lt;&gt;0)),150,0)</f>
        <v>0</v>
      </c>
      <c r="K25" s="84">
        <f>IF(B36=O10,(E18+E17+E19)*E13*2,0)</f>
        <v>0</v>
      </c>
      <c r="L25" s="18">
        <v>0.23499999999999996</v>
      </c>
      <c r="M25" s="40">
        <f t="shared" si="2"/>
        <v>0</v>
      </c>
    </row>
    <row r="26" spans="2:15" s="18" customFormat="1" ht="20.100000000000001" customHeight="1" x14ac:dyDescent="0.35">
      <c r="B26" s="119" t="s">
        <v>8</v>
      </c>
      <c r="C26" s="120"/>
      <c r="D26" s="120"/>
      <c r="E26" s="121" t="s">
        <v>50</v>
      </c>
      <c r="F26" s="122"/>
      <c r="H26" s="43" t="s">
        <v>134</v>
      </c>
      <c r="I26" s="42" t="s">
        <v>84</v>
      </c>
      <c r="J26" s="4">
        <f>IF(AND(B36=O10,OR(E17&lt;&gt;0,E18&lt;&gt;0,E19&lt;&gt;0),K8&lt;1000),K8-45-300-80,0)</f>
        <v>0</v>
      </c>
      <c r="K26" s="85">
        <f>IF(AND(K8&lt;1000,B36=O10),(E18+E17+E19)*E13,0)</f>
        <v>0</v>
      </c>
      <c r="L26" s="18">
        <v>0.23499999999999996</v>
      </c>
      <c r="M26" s="40">
        <f t="shared" si="2"/>
        <v>0</v>
      </c>
    </row>
    <row r="27" spans="2:15" s="18" customFormat="1" ht="20.100000000000001" customHeight="1" x14ac:dyDescent="0.35">
      <c r="B27" s="119" t="s">
        <v>76</v>
      </c>
      <c r="C27" s="120"/>
      <c r="D27" s="120"/>
      <c r="E27" s="178" t="s">
        <v>50</v>
      </c>
      <c r="F27" s="179"/>
      <c r="H27" s="43" t="s">
        <v>134</v>
      </c>
      <c r="I27" s="42" t="s">
        <v>84</v>
      </c>
      <c r="J27" s="4">
        <f>IF(AND(B36=O10,OR(E17&lt;&gt;0,E18&lt;&gt;0,E19&lt;&gt;0),K8&gt;=1000),(K8-45-300-120)/2,0)</f>
        <v>0</v>
      </c>
      <c r="K27" s="85">
        <f>IF(AND(K8&gt;=1000,B36=O10),(E18+E17+E19)*E13*2,0)</f>
        <v>0</v>
      </c>
      <c r="L27" s="18">
        <v>0.23499999999999996</v>
      </c>
      <c r="M27" s="40">
        <f t="shared" si="2"/>
        <v>0</v>
      </c>
    </row>
    <row r="28" spans="2:15" s="18" customFormat="1" ht="20.100000000000001" customHeight="1" x14ac:dyDescent="0.35">
      <c r="B28" s="119" t="s">
        <v>58</v>
      </c>
      <c r="C28" s="120"/>
      <c r="D28" s="120"/>
      <c r="E28" s="121" t="s">
        <v>50</v>
      </c>
      <c r="F28" s="122"/>
      <c r="H28" s="43" t="s">
        <v>145</v>
      </c>
      <c r="I28" s="42" t="s">
        <v>85</v>
      </c>
      <c r="J28" s="8">
        <f>IF(AND(D7=R3,OR(C46=O16,AND(C42=O16,D46=0))),K12-2-75,
IF(AND(D7&lt;&gt;R3,OR(AND(C46=O16,D46&lt;&gt;0),C42=O16)),K12-2-75,0))</f>
        <v>925</v>
      </c>
      <c r="K28" s="87">
        <f>IF(J28=0,0,
IF(AND(D7=R3,C46=O16,D46&lt;&gt;0),1*E13+IF(E29=O20,E13,0),
IF(AND(D7=R3,C42=O16),1*E13+IF(E29=O20,E13,0),
IF(OR(AND(C42=O16,D46=0),AND(C46=O16,D46&lt;&gt;0,C42=O16,D42&lt;&gt;0)),2*E13+IF(E29=O20,E13,0),
IF(OR(C42=O16,AND(C46=O16,D46&lt;&gt;0)),1*E13+IF(E29=O20,E13,0),0)))))</f>
        <v>4</v>
      </c>
      <c r="L28" s="18">
        <v>0.60799999999999998</v>
      </c>
      <c r="M28" s="40">
        <f t="shared" si="2"/>
        <v>2.2496</v>
      </c>
    </row>
    <row r="29" spans="2:15" s="18" customFormat="1" ht="20.100000000000001" customHeight="1" thickBot="1" x14ac:dyDescent="0.4">
      <c r="B29" s="176" t="s">
        <v>112</v>
      </c>
      <c r="C29" s="177"/>
      <c r="D29" s="177"/>
      <c r="E29" s="123" t="s">
        <v>50</v>
      </c>
      <c r="F29" s="124"/>
      <c r="H29" s="43" t="s">
        <v>146</v>
      </c>
      <c r="I29" s="42" t="s">
        <v>86</v>
      </c>
      <c r="J29" s="8">
        <f>IF(OR(AND(C42=O16,D42&lt;&gt;0),AND(C43=O16,D43&lt;&gt;0),AND(C44=O16,D44&lt;&gt;0),AND(C45=O16,D45&lt;&gt;0),AND(C46=O16,D46&lt;&gt;0)),K12-2-75,0)</f>
        <v>925</v>
      </c>
      <c r="K29" s="85">
        <f>IF(J29&lt;&gt;0,(IF(AND(D46=0,C42=O16,D7=R3),1,IF(AND(D46&lt;&gt;0,C42=O16,D7=R3),2,0))+IF(AND(D46&lt;&gt;0,C42=O16,D7&lt;&gt;R3),1,0)
+IF(AND(C42=O16,D42&gt;=1000,D42&lt;1500),1,0)+IF(AND(C42=O16,D42&gt;=1500,D42&lt;2000),2,0)+IF(AND(C42=O16,D42&gt;=2000),3,0)+IF(AND(D43&lt;&gt;0,C43=O16),2,0)+IF(AND(C43=O16,D43&gt;=1000,D43&lt;1500),1,0)+IF(AND(C43=O16,D43&gt;=1500,D43&lt;2000),2,0)+IF(AND(C43=O16,D43&gt;=2000),3,0)+IF(AND(D44&lt;&gt;0,C44=O16),2,0)+IF(AND(C44=O16,D44&gt;=1000,D44&lt;1500),1,0)+IF(AND(C44=O16,D44&gt;=1500,D44&lt;2000),2,0)+IF(AND(C44=O16,D44&gt;=2000),3,0)+IF(AND(D45&lt;&gt;0,C45=O16),2,0)+IF(AND(C45=O16,D45&gt;=1000,D45&lt;1500),1,0)+IF(AND(C45=O16,D45&gt;=1500,D45&lt;2000),2,0)+IF(AND(C45=O16,D45&gt;=2000),3,0)+IF(AND(D46&lt;&gt;0,C46=O16),1,0)+IF(AND(C46=O16,D46&gt;=1000,D46&lt;1500),1,0)+IF(AND(C46=O16,D46&gt;=1500,D46&lt;2000),2,0)+IF(AND(C46=O16,D46&gt;=2000),3,0))*E13,0)</f>
        <v>6</v>
      </c>
      <c r="L29" s="18">
        <v>0.30499999999999999</v>
      </c>
      <c r="M29" s="40">
        <f t="shared" si="2"/>
        <v>1.69275</v>
      </c>
    </row>
    <row r="30" spans="2:15" s="18" customFormat="1" ht="20.100000000000001" customHeight="1" x14ac:dyDescent="0.35">
      <c r="H30" s="43" t="s">
        <v>135</v>
      </c>
      <c r="I30" s="42" t="s">
        <v>86</v>
      </c>
      <c r="J30" s="8">
        <f>IF(C42=$O$16,D42,0)</f>
        <v>2561</v>
      </c>
      <c r="K30" s="85">
        <f>IF(J30&lt;&gt;0,IF(C42=$O$16,2,0)*E13,0)</f>
        <v>4</v>
      </c>
      <c r="L30" s="18">
        <v>0.30499999999999999</v>
      </c>
      <c r="M30" s="40">
        <f t="shared" si="2"/>
        <v>3.1244200000000002</v>
      </c>
    </row>
    <row r="31" spans="2:15" s="18" customFormat="1" ht="20.100000000000001" customHeight="1" x14ac:dyDescent="0.35">
      <c r="B31" s="18" t="s">
        <v>70</v>
      </c>
      <c r="H31" s="43" t="s">
        <v>136</v>
      </c>
      <c r="I31" s="42" t="s">
        <v>86</v>
      </c>
      <c r="J31" s="8">
        <f>IF(C43=$O$16,D43,0)</f>
        <v>0</v>
      </c>
      <c r="K31" s="85">
        <f>IF(J31&lt;&gt;0,IF(C43=$O$16,2,0)*E13,0)</f>
        <v>0</v>
      </c>
      <c r="L31" s="18">
        <v>0.30499999999999999</v>
      </c>
      <c r="M31" s="40">
        <f t="shared" si="2"/>
        <v>0</v>
      </c>
    </row>
    <row r="32" spans="2:15" s="18" customFormat="1" ht="20.100000000000001" customHeight="1" x14ac:dyDescent="0.35">
      <c r="B32" s="18" t="s">
        <v>74</v>
      </c>
      <c r="H32" s="43" t="s">
        <v>137</v>
      </c>
      <c r="I32" s="42" t="s">
        <v>86</v>
      </c>
      <c r="J32" s="8">
        <f>IF(C44=$O$16,D44,0)</f>
        <v>0</v>
      </c>
      <c r="K32" s="85">
        <f>IF(J32&lt;&gt;0,IF(C44=$O$16,2,0)*E13,0)</f>
        <v>0</v>
      </c>
      <c r="L32" s="18">
        <v>0.30499999999999999</v>
      </c>
      <c r="M32" s="40">
        <f t="shared" si="2"/>
        <v>0</v>
      </c>
    </row>
    <row r="33" spans="2:15" s="18" customFormat="1" ht="20.100000000000001" customHeight="1" x14ac:dyDescent="0.35">
      <c r="B33" s="18" t="s">
        <v>116</v>
      </c>
      <c r="H33" s="43" t="s">
        <v>138</v>
      </c>
      <c r="I33" s="42" t="s">
        <v>86</v>
      </c>
      <c r="J33" s="8">
        <f>IF(C45=$O$16,D45,0)</f>
        <v>0</v>
      </c>
      <c r="K33" s="85">
        <f>IF(J33&lt;&gt;0,IF(C45=$O$16,2,0)*E13,0)</f>
        <v>0</v>
      </c>
      <c r="L33" s="18">
        <v>0.30499999999999999</v>
      </c>
      <c r="M33" s="40">
        <f t="shared" si="2"/>
        <v>0</v>
      </c>
      <c r="O33" s="18" t="s">
        <v>37</v>
      </c>
    </row>
    <row r="34" spans="2:15" s="18" customFormat="1" ht="20.100000000000001" customHeight="1" thickBot="1" x14ac:dyDescent="0.4">
      <c r="H34" s="95" t="s">
        <v>139</v>
      </c>
      <c r="I34" s="96" t="s">
        <v>86</v>
      </c>
      <c r="J34" s="97">
        <f>IF(C46=$O$16,D46,0)</f>
        <v>0</v>
      </c>
      <c r="K34" s="98">
        <f>IF(J34&lt;&gt;0,IF(C46=$O$16,2,0)*E13,0)</f>
        <v>0</v>
      </c>
      <c r="L34" s="18">
        <v>0.30499999999999999</v>
      </c>
      <c r="M34" s="40">
        <f t="shared" si="2"/>
        <v>0</v>
      </c>
      <c r="O34" s="18" t="s">
        <v>38</v>
      </c>
    </row>
    <row r="35" spans="2:15" s="18" customFormat="1" ht="20.100000000000001" customHeight="1" thickBot="1" x14ac:dyDescent="0.35">
      <c r="B35" s="148" t="s">
        <v>22</v>
      </c>
      <c r="C35" s="180"/>
      <c r="M35" s="49">
        <f>SUM(M17:M34)/E13</f>
        <v>8.3563410000000005</v>
      </c>
    </row>
    <row r="36" spans="2:15" s="18" customFormat="1" ht="20.100000000000001" customHeight="1" thickBot="1" x14ac:dyDescent="0.35">
      <c r="B36" s="181" t="s">
        <v>18</v>
      </c>
      <c r="C36" s="182"/>
      <c r="H36" s="50" t="s">
        <v>7</v>
      </c>
      <c r="I36" s="61" t="s">
        <v>19</v>
      </c>
      <c r="J36" s="127" t="s">
        <v>3</v>
      </c>
      <c r="K36" s="128"/>
    </row>
    <row r="37" spans="2:15" s="18" customFormat="1" ht="20.100000000000001" customHeight="1" x14ac:dyDescent="0.3">
      <c r="B37" s="60" t="s">
        <v>12</v>
      </c>
      <c r="H37" s="15" t="s">
        <v>87</v>
      </c>
      <c r="I37" s="42" t="s">
        <v>89</v>
      </c>
      <c r="J37" s="116">
        <f>IF(K8&gt;=1000,E13*1.5,E13)</f>
        <v>3</v>
      </c>
      <c r="K37" s="117"/>
      <c r="O37" s="18" t="s">
        <v>39</v>
      </c>
    </row>
    <row r="38" spans="2:15" s="18" customFormat="1" ht="20.100000000000001" customHeight="1" thickBot="1" x14ac:dyDescent="0.35">
      <c r="D38" s="60"/>
      <c r="E38" s="60"/>
      <c r="F38" s="60"/>
      <c r="H38" s="43" t="s">
        <v>88</v>
      </c>
      <c r="I38" s="71" t="s">
        <v>90</v>
      </c>
      <c r="J38" s="125">
        <f>(E13*2-SUM(E15:F16))/2</f>
        <v>2</v>
      </c>
      <c r="K38" s="126"/>
      <c r="O38" s="18" t="s">
        <v>13</v>
      </c>
    </row>
    <row r="39" spans="2:15" s="18" customFormat="1" ht="20.100000000000001" customHeight="1" thickBot="1" x14ac:dyDescent="0.4">
      <c r="B39" s="44" t="s">
        <v>34</v>
      </c>
      <c r="C39" s="45">
        <f>E17+E18+E19+1</f>
        <v>1</v>
      </c>
      <c r="D39" s="183" t="str">
        <f>IF(C39&gt;5,O37,O38)</f>
        <v xml:space="preserve"> </v>
      </c>
      <c r="E39" s="184"/>
      <c r="H39" s="15" t="s">
        <v>92</v>
      </c>
      <c r="I39" s="41" t="s">
        <v>91</v>
      </c>
      <c r="J39" s="116">
        <f>ROUNDUP(IF(D7&lt;&gt;R3,IF(E11=O45,2+E15,IF(OR(E11=O46,E11=O47,E11=O48),4+E15,IF(E11=O49,6+E15,0))))/2,0)</f>
        <v>1</v>
      </c>
      <c r="K39" s="117"/>
      <c r="M39" s="18">
        <f>IF(C42=$O$15,D42*E42/1000000*13,IF(C42=$O$16,D42*E42/1000000*11))</f>
        <v>28.170999999999999</v>
      </c>
      <c r="O39" s="18" t="s">
        <v>40</v>
      </c>
    </row>
    <row r="40" spans="2:15" s="18" customFormat="1" ht="20.100000000000001" customHeight="1" thickBot="1" x14ac:dyDescent="0.35">
      <c r="F40" s="62"/>
      <c r="H40" s="15" t="s">
        <v>94</v>
      </c>
      <c r="I40" s="41" t="s">
        <v>93</v>
      </c>
      <c r="J40" s="116">
        <f>ROUNDUP(IF(D7&lt;&gt;R3,IF(OR(E11=O45,E11=O46),2+E16,IF(OR(E11=O47,E11=O48,E11=O49),4+E16,0)))/2,0)</f>
        <v>1</v>
      </c>
      <c r="K40" s="117"/>
      <c r="M40" s="18">
        <f>IF(C43=$O$15,D43*E43/1000000*13,IF(C43=$O$16,D43*E43/1000000*11))</f>
        <v>0</v>
      </c>
      <c r="O40" s="18" t="s">
        <v>13</v>
      </c>
    </row>
    <row r="41" spans="2:15" ht="20.100000000000001" customHeight="1" x14ac:dyDescent="0.35">
      <c r="B41" s="46" t="s">
        <v>25</v>
      </c>
      <c r="C41" s="47" t="s">
        <v>29</v>
      </c>
      <c r="D41" s="47" t="s">
        <v>30</v>
      </c>
      <c r="E41" s="47" t="s">
        <v>31</v>
      </c>
      <c r="F41" s="48" t="s">
        <v>127</v>
      </c>
      <c r="H41" s="15" t="s">
        <v>95</v>
      </c>
      <c r="I41" s="16" t="s">
        <v>96</v>
      </c>
      <c r="J41" s="116">
        <f>IF(M47&lt;30,ROUNDUP(SUM(E15:F16)/2,0),0)</f>
        <v>0</v>
      </c>
      <c r="K41" s="118"/>
      <c r="L41" s="101">
        <f>IF(D42&lt;&gt;0,1,0)</f>
        <v>1</v>
      </c>
      <c r="M41" s="18">
        <f>IF(C44=$O$15,D44*E44/1000000*13,IF(C44=$O$16,D44*E44/1000000*11))</f>
        <v>0</v>
      </c>
    </row>
    <row r="42" spans="2:15" ht="20.100000000000001" customHeight="1" x14ac:dyDescent="0.35">
      <c r="B42" s="15" t="s">
        <v>35</v>
      </c>
      <c r="C42" s="7" t="s">
        <v>33</v>
      </c>
      <c r="D42" s="10">
        <f>K11-SUM(D43:D46)</f>
        <v>2561</v>
      </c>
      <c r="E42" s="73">
        <f>IF(C42=$O$16,$K$12-2,$K$12)</f>
        <v>1000</v>
      </c>
      <c r="F42" s="75">
        <f>E13</f>
        <v>2</v>
      </c>
      <c r="H42" s="15" t="s">
        <v>95</v>
      </c>
      <c r="I42" s="16" t="s">
        <v>97</v>
      </c>
      <c r="J42" s="116">
        <f>IF(AND(M47&gt;=30,M47&lt;50),ROUNDUP(SUM(E15:F16)/2,0),0)</f>
        <v>0</v>
      </c>
      <c r="K42" s="118"/>
      <c r="L42" s="101">
        <f>IF(D43&lt;&gt;0,1,0)</f>
        <v>0</v>
      </c>
      <c r="M42" s="18">
        <f>IF(C45=$O$15,D45*E45/1000000*13,IF(C45=$O$16,D45*E45/1000000*11))</f>
        <v>0</v>
      </c>
    </row>
    <row r="43" spans="2:15" ht="21" customHeight="1" thickBot="1" x14ac:dyDescent="0.4">
      <c r="B43" s="15" t="s">
        <v>26</v>
      </c>
      <c r="C43" s="7" t="s">
        <v>33</v>
      </c>
      <c r="D43" s="9">
        <v>0</v>
      </c>
      <c r="E43" s="73">
        <f>IF(C43=$O$16,$K$12-2,$K$12)</f>
        <v>1000</v>
      </c>
      <c r="F43" s="75">
        <f>IF(D43&lt;&gt;0,$E$13,0)</f>
        <v>0</v>
      </c>
      <c r="H43" s="15" t="s">
        <v>95</v>
      </c>
      <c r="I43" s="16" t="s">
        <v>98</v>
      </c>
      <c r="J43" s="116">
        <f>IF(AND(M47&gt;=50,M47&lt;70),ROUNDUP(SUM(E15:F16)/2,0),0)</f>
        <v>0</v>
      </c>
      <c r="K43" s="118"/>
      <c r="L43" s="101">
        <f>IF(D44&lt;&gt;0,1,0)</f>
        <v>0</v>
      </c>
      <c r="M43" s="18">
        <f>IF(C46=$O$15,D46*E46/1000000*13,IF(C46=$O$16,D46*E46/1000000*11))</f>
        <v>0</v>
      </c>
    </row>
    <row r="44" spans="2:15" ht="21" customHeight="1" thickBot="1" x14ac:dyDescent="0.4">
      <c r="B44" s="15" t="s">
        <v>27</v>
      </c>
      <c r="C44" s="7" t="s">
        <v>33</v>
      </c>
      <c r="D44" s="9">
        <v>0</v>
      </c>
      <c r="E44" s="73">
        <f>IF(C44=$O$16,$K$12-2,$K$12)</f>
        <v>1000</v>
      </c>
      <c r="F44" s="75">
        <f t="shared" ref="F44:F46" si="3">IF(D44&lt;&gt;0,$E$13,0)</f>
        <v>0</v>
      </c>
      <c r="H44" s="99" t="s">
        <v>132</v>
      </c>
      <c r="I44" s="71" t="s">
        <v>133</v>
      </c>
      <c r="J44" s="174">
        <f>E19*2*E13+F20*E13</f>
        <v>0</v>
      </c>
      <c r="K44" s="175"/>
      <c r="L44" s="101">
        <f>IF(D45&lt;&gt;0,1,0)</f>
        <v>0</v>
      </c>
      <c r="M44" s="52">
        <f>SUM(M39:M43)</f>
        <v>28.170999999999999</v>
      </c>
    </row>
    <row r="45" spans="2:15" ht="21" customHeight="1" x14ac:dyDescent="0.35">
      <c r="B45" s="15" t="s">
        <v>28</v>
      </c>
      <c r="C45" s="7" t="s">
        <v>33</v>
      </c>
      <c r="D45" s="9">
        <v>0</v>
      </c>
      <c r="E45" s="73">
        <f>IF(C45=$O$16,$K$12-2,$K$12)</f>
        <v>1000</v>
      </c>
      <c r="F45" s="75">
        <f t="shared" si="3"/>
        <v>0</v>
      </c>
      <c r="H45" s="15" t="s">
        <v>60</v>
      </c>
      <c r="I45" s="42" t="s">
        <v>103</v>
      </c>
      <c r="J45" s="110">
        <f>E13*2-E15-E16</f>
        <v>4</v>
      </c>
      <c r="K45" s="173"/>
      <c r="L45" s="101">
        <f>IF(D46&lt;&gt;0,1,0)</f>
        <v>0</v>
      </c>
      <c r="O45" s="54" t="s">
        <v>42</v>
      </c>
    </row>
    <row r="46" spans="2:15" ht="21" customHeight="1" thickBot="1" x14ac:dyDescent="0.4">
      <c r="B46" s="51" t="s">
        <v>36</v>
      </c>
      <c r="C46" s="11" t="s">
        <v>33</v>
      </c>
      <c r="D46" s="12">
        <v>0</v>
      </c>
      <c r="E46" s="74">
        <f>IF(C46=$O$16,$K$12-2,$K$12)</f>
        <v>1000</v>
      </c>
      <c r="F46" s="76">
        <f t="shared" si="3"/>
        <v>0</v>
      </c>
      <c r="H46" s="15" t="s">
        <v>16</v>
      </c>
      <c r="I46" s="14" t="s">
        <v>104</v>
      </c>
      <c r="J46" s="112">
        <f>CEILING(K17*K7/1000,1)</f>
        <v>11</v>
      </c>
      <c r="K46" s="113"/>
      <c r="O46" s="54" t="s">
        <v>43</v>
      </c>
    </row>
    <row r="47" spans="2:15" ht="20.100000000000001" customHeight="1" thickBot="1" x14ac:dyDescent="0.4">
      <c r="B47" s="18"/>
      <c r="C47" s="18"/>
      <c r="D47" s="18"/>
      <c r="E47" s="18"/>
      <c r="F47" s="18"/>
      <c r="H47" s="15" t="s">
        <v>56</v>
      </c>
      <c r="I47" s="14" t="s">
        <v>104</v>
      </c>
      <c r="J47" s="112">
        <f>IF(AND(D7&lt;&gt;R4,E27=O57),CEILING(K17*K7/1000,1),0)</f>
        <v>0</v>
      </c>
      <c r="K47" s="113"/>
      <c r="M47" s="53">
        <f>(M35+M44)*1.05</f>
        <v>38.353708050000002</v>
      </c>
      <c r="O47" s="54" t="s">
        <v>44</v>
      </c>
    </row>
    <row r="48" spans="2:15" ht="20.100000000000001" customHeight="1" x14ac:dyDescent="0.35">
      <c r="B48" s="18"/>
      <c r="C48" s="17" t="str">
        <f>IF((SUM(L41:L45)/C39)&lt;&gt;1,O33,O34)</f>
        <v>Верно внесены высоты вставок</v>
      </c>
      <c r="D48" s="23">
        <f>IF(C48=O34,1,0)</f>
        <v>1</v>
      </c>
      <c r="E48" s="18"/>
      <c r="F48" s="18"/>
      <c r="H48" s="15" t="s">
        <v>51</v>
      </c>
      <c r="I48" s="42" t="s">
        <v>105</v>
      </c>
      <c r="J48" s="112">
        <f>IF(AND(D7&lt;&gt;R4,E27=O58),CEILING(K17*K7/1000,1),0)</f>
        <v>0</v>
      </c>
      <c r="K48" s="160"/>
      <c r="O48" s="54" t="s">
        <v>45</v>
      </c>
    </row>
    <row r="49" spans="2:15" ht="20.100000000000001" customHeight="1" x14ac:dyDescent="0.35">
      <c r="B49" s="18"/>
      <c r="C49" s="18"/>
      <c r="D49" s="18"/>
      <c r="E49" s="18"/>
      <c r="F49" s="18"/>
      <c r="H49" s="15" t="s">
        <v>107</v>
      </c>
      <c r="I49" s="42" t="s">
        <v>106</v>
      </c>
      <c r="J49" s="112">
        <f>IF(E26=O20,CEILING((J16+40)*2/1000,1),0)</f>
        <v>0</v>
      </c>
      <c r="K49" s="113"/>
      <c r="O49" s="54" t="s">
        <v>46</v>
      </c>
    </row>
    <row r="50" spans="2:15" ht="20.100000000000001" customHeight="1" x14ac:dyDescent="0.35">
      <c r="B50" s="18"/>
      <c r="C50" s="161" t="str">
        <f>IF(OR(AND(C42=O16,D42&lt;130,D42&lt;&gt;0),AND(C43=O16,D43&lt;130,D43&lt;&gt;0),AND(C44=O16,D44&lt;130,D44&lt;&gt;0),AND(C45=O16,D45&lt;130,D45&lt;&gt;0),AND(C46=O16,D46&lt;130,D46&lt;&gt;0)),O39,O40)</f>
        <v xml:space="preserve"> </v>
      </c>
      <c r="D50" s="161"/>
      <c r="E50" s="18"/>
      <c r="F50" s="18"/>
      <c r="H50" s="55" t="s">
        <v>99</v>
      </c>
      <c r="I50" s="42" t="s">
        <v>100</v>
      </c>
      <c r="J50" s="107">
        <f>IF(B36=O11,ROUND(E22*E13*4+(K8/300+1)*E19*E13*2+(K8/300+1)*(E17+E18)*E13,1),0)</f>
        <v>0</v>
      </c>
      <c r="K50" s="109"/>
    </row>
    <row r="51" spans="2:15" ht="20.100000000000001" customHeight="1" x14ac:dyDescent="0.35">
      <c r="B51" s="18"/>
      <c r="C51" s="18"/>
      <c r="D51" s="18"/>
      <c r="E51" s="18"/>
      <c r="F51" s="18"/>
      <c r="H51" s="55" t="s">
        <v>109</v>
      </c>
      <c r="I51" s="42" t="s">
        <v>108</v>
      </c>
      <c r="J51" s="107">
        <f>K28*4+K29*2</f>
        <v>28</v>
      </c>
      <c r="K51" s="109"/>
      <c r="O51" s="57"/>
    </row>
    <row r="52" spans="2:15" ht="20.100000000000001" customHeight="1" x14ac:dyDescent="0.35">
      <c r="B52" s="18"/>
      <c r="C52" s="161" t="str">
        <f>IF(AND(SUM(L41:L45)/C39=1,D46=0,C39&lt;&gt;1),O52,O53)</f>
        <v xml:space="preserve"> </v>
      </c>
      <c r="D52" s="161"/>
      <c r="E52" s="18"/>
      <c r="F52" s="18"/>
      <c r="H52" s="56" t="s">
        <v>111</v>
      </c>
      <c r="I52" s="42" t="s">
        <v>110</v>
      </c>
      <c r="J52" s="165">
        <f>CEILING(SUM(J30*K30,J31*K31,J32*K32,J33*K33,J34*K34)/1000,1)</f>
        <v>11</v>
      </c>
      <c r="K52" s="166"/>
      <c r="O52" s="21" t="s">
        <v>52</v>
      </c>
    </row>
    <row r="53" spans="2:15" x14ac:dyDescent="0.35">
      <c r="B53" s="18"/>
      <c r="C53" s="18"/>
      <c r="D53" s="18"/>
      <c r="E53" s="18"/>
      <c r="F53" s="18"/>
      <c r="H53" s="15" t="s">
        <v>101</v>
      </c>
      <c r="I53" s="16" t="s">
        <v>102</v>
      </c>
      <c r="J53" s="110">
        <f>IF(E28=O20,E14,0)</f>
        <v>0</v>
      </c>
      <c r="K53" s="111"/>
      <c r="O53" s="21" t="s">
        <v>13</v>
      </c>
    </row>
    <row r="54" spans="2:15" x14ac:dyDescent="0.35">
      <c r="B54" s="18"/>
      <c r="C54" s="18"/>
      <c r="D54" s="18"/>
      <c r="E54" s="18"/>
      <c r="F54" s="18"/>
      <c r="H54" s="15" t="s">
        <v>23</v>
      </c>
      <c r="I54" s="42" t="s">
        <v>115</v>
      </c>
      <c r="J54" s="107">
        <f>J18*K18/250*1.1</f>
        <v>17.529600000000002</v>
      </c>
      <c r="K54" s="108"/>
    </row>
    <row r="55" spans="2:15" x14ac:dyDescent="0.35">
      <c r="H55" s="43" t="s">
        <v>147</v>
      </c>
      <c r="I55" s="42" t="s">
        <v>148</v>
      </c>
      <c r="J55" s="107">
        <f>(IF(C42=O15,(D42/250)*2*E13+IF(D46&lt;&gt;0,(E42/250)*E13,0)+IF(D7=R3,J38*4)+J39*8+J40*8+(D42/300)*2*K24,0)+
IF(AND(C43=O15,D43&lt;&gt;0),(D43/250)*2*E13+(E43/250)*E13*2+(D43/300)*2*K24,0)+
IF(AND(C44=O15,D44&lt;&gt;0),(D44/250)*2*E13+(E44/250)*E13*2+(D44/300)*2*K24,0)+
IF(AND(C45=O15,D45&lt;&gt;0),(D45/250)*2*E13+(E45/250)*E13*2+(D45/300)*2*K24,0)+
IF(AND(C46=O15,D46&lt;&gt;0),(D46/250)*2*E13+(E46/250)*E13*2+(D46/300)*2*K24+J37*8,0)+J19*K19/250+IF(OR(C42=O15, C46=O15),J57*20,0)+J23/250*K23)*1.1</f>
        <v>0</v>
      </c>
      <c r="K55" s="108"/>
    </row>
    <row r="56" spans="2:15" ht="18" customHeight="1" x14ac:dyDescent="0.35">
      <c r="H56" s="15" t="s">
        <v>24</v>
      </c>
      <c r="I56" s="42" t="s">
        <v>114</v>
      </c>
      <c r="J56" s="107">
        <f>((J21*K21/250)+
IF(C42=O16,(D42/250)*2*E13+IF(D46&lt;&gt;0,(E42/250)*E13*4,0)+(D42/300)*2*K24+IF(D7=R3,J38*4)+J39*8+J40*8,0)+
IF(AND(C43=O16,D43&lt;&gt;0),(D43/250)*2*E13+(E43/250)*E13*4+(D43/300)*2*K24,0)+
IF(AND(C44=O16,D44&lt;&gt;0),(D44/250)*2*E13+(E44/250)*E13*4+(D44/300)*2*K24,0)+
IF(AND(C45=O16,D45&lt;&gt;0),(D45/250)*2*E13+(E45/250)*E13*4+(D45/300)*2*K24,0)+
IF(AND(C46=O16,D46&lt;&gt;0),(D46/250)*2*E13+(E46/250)*E13*4+(D46/300)*2*K24+IF(OR(C42=O16, C46=O16),J57*20,0)+J37*8,0))*1.1</f>
        <v>175.35760000000002</v>
      </c>
      <c r="K56" s="109"/>
      <c r="O56" s="21" t="s">
        <v>50</v>
      </c>
    </row>
    <row r="57" spans="2:15" x14ac:dyDescent="0.35">
      <c r="H57" s="91" t="s">
        <v>112</v>
      </c>
      <c r="I57" s="89" t="s">
        <v>113</v>
      </c>
      <c r="J57" s="163">
        <f>IF(J24=0,IF(K12&lt;1000,2*E13,IF(K12&gt;=1000,3*E13)),0)</f>
        <v>0</v>
      </c>
      <c r="K57" s="164"/>
      <c r="O57" s="21" t="s">
        <v>54</v>
      </c>
    </row>
    <row r="58" spans="2:15" x14ac:dyDescent="0.35">
      <c r="H58" s="91" t="s">
        <v>160</v>
      </c>
      <c r="I58" s="90" t="s">
        <v>159</v>
      </c>
      <c r="J58" s="114">
        <f>IF(OR(C42=O16,AND(C46=O16,D46&lt;&gt;0)),J57*2)</f>
        <v>0</v>
      </c>
      <c r="K58" s="115"/>
      <c r="L58" s="66"/>
      <c r="O58" s="21" t="s">
        <v>55</v>
      </c>
    </row>
    <row r="59" spans="2:15" x14ac:dyDescent="0.35">
      <c r="H59" s="92" t="s">
        <v>140</v>
      </c>
      <c r="I59" s="90" t="s">
        <v>162</v>
      </c>
      <c r="J59" s="114">
        <f>E22*E13+E21*E13</f>
        <v>0</v>
      </c>
      <c r="K59" s="115"/>
      <c r="L59" s="66"/>
    </row>
    <row r="60" spans="2:15" ht="18.600000000000001" thickBot="1" x14ac:dyDescent="0.4">
      <c r="B60" s="18"/>
      <c r="D60" s="18"/>
      <c r="E60" s="18"/>
      <c r="F60" s="18"/>
      <c r="H60" s="92" t="s">
        <v>141</v>
      </c>
      <c r="I60" s="90" t="s">
        <v>142</v>
      </c>
      <c r="J60" s="114">
        <f>J44*2</f>
        <v>0</v>
      </c>
      <c r="K60" s="115"/>
    </row>
    <row r="61" spans="2:15" ht="18.600000000000001" thickBot="1" x14ac:dyDescent="0.4">
      <c r="B61" s="162" t="s">
        <v>53</v>
      </c>
      <c r="C61" s="18"/>
      <c r="E61" s="19" t="s">
        <v>57</v>
      </c>
      <c r="F61" s="20">
        <f>ROUNDUP(M47,0)</f>
        <v>39</v>
      </c>
      <c r="H61" s="93" t="s">
        <v>144</v>
      </c>
      <c r="I61" s="94" t="s">
        <v>143</v>
      </c>
      <c r="J61" s="105">
        <f>IF(J44=0,0,J44-E13*2)+2*J59</f>
        <v>0</v>
      </c>
      <c r="K61" s="106"/>
    </row>
    <row r="62" spans="2:15" x14ac:dyDescent="0.35">
      <c r="B62" s="162"/>
      <c r="C62" s="18"/>
      <c r="D62" s="18"/>
      <c r="E62" s="18"/>
      <c r="F62" s="18"/>
      <c r="H62" s="159" t="s">
        <v>72</v>
      </c>
      <c r="I62" s="159"/>
      <c r="J62" s="159"/>
      <c r="K62" s="159"/>
    </row>
    <row r="63" spans="2:15" x14ac:dyDescent="0.35">
      <c r="B63" s="162"/>
      <c r="C63" s="18"/>
      <c r="D63" s="18"/>
      <c r="E63" s="18"/>
      <c r="F63" s="18"/>
      <c r="H63" s="159"/>
      <c r="I63" s="159"/>
      <c r="J63" s="159"/>
      <c r="K63" s="159"/>
    </row>
    <row r="64" spans="2:15" ht="18.600000000000001" thickBot="1" x14ac:dyDescent="0.4">
      <c r="C64" s="18"/>
      <c r="D64" s="18"/>
      <c r="E64" s="18"/>
      <c r="F64" s="18"/>
    </row>
    <row r="65" spans="2:11" x14ac:dyDescent="0.35">
      <c r="B65" s="78" t="s">
        <v>25</v>
      </c>
      <c r="C65" s="79" t="s">
        <v>29</v>
      </c>
      <c r="D65" s="79" t="s">
        <v>30</v>
      </c>
      <c r="E65" s="79" t="s">
        <v>31</v>
      </c>
      <c r="F65" s="80" t="s">
        <v>127</v>
      </c>
      <c r="H65" s="21" t="s">
        <v>63</v>
      </c>
    </row>
    <row r="66" spans="2:11" ht="19.8" customHeight="1" x14ac:dyDescent="0.35">
      <c r="B66" s="91" t="s">
        <v>126</v>
      </c>
      <c r="C66" s="103" t="s">
        <v>152</v>
      </c>
      <c r="D66" s="102">
        <f>IF(E23=R14,23,0)</f>
        <v>0</v>
      </c>
      <c r="E66" s="102">
        <f>IF(AND(E23=R14,E19&gt;1),J21-10,0)</f>
        <v>0</v>
      </c>
      <c r="F66" s="104">
        <f>IF(E23=R14,E19*E13-IF(F20&lt;&gt;0,1*E13,0),0)</f>
        <v>0</v>
      </c>
    </row>
    <row r="67" spans="2:11" ht="18.600000000000001" thickBot="1" x14ac:dyDescent="0.4">
      <c r="B67" s="72" t="s">
        <v>158</v>
      </c>
      <c r="C67" s="77" t="s">
        <v>152</v>
      </c>
      <c r="D67" s="81">
        <f>IF(E24=R14,23,0)</f>
        <v>0</v>
      </c>
      <c r="E67" s="81">
        <f>IF(AND(E24=R14,F20&lt;&gt;0),J21-10-(E20-5)*F20,0)</f>
        <v>0</v>
      </c>
      <c r="F67" s="86">
        <f>IF(AND(E24=R14,F20&gt;0),E13,0)</f>
        <v>0</v>
      </c>
      <c r="H67" s="21" t="s">
        <v>73</v>
      </c>
    </row>
    <row r="71" spans="2:11" ht="25.8" x14ac:dyDescent="0.5">
      <c r="B71" s="158" t="s">
        <v>71</v>
      </c>
      <c r="C71" s="158"/>
      <c r="D71" s="158"/>
      <c r="E71" s="158"/>
      <c r="F71" s="158"/>
      <c r="G71" s="158"/>
      <c r="H71" s="158"/>
      <c r="I71" s="158"/>
      <c r="J71" s="158"/>
      <c r="K71" s="158"/>
    </row>
    <row r="72" spans="2:11" ht="18.600000000000001" thickBot="1" x14ac:dyDescent="0.4">
      <c r="D72" s="64"/>
      <c r="E72" s="64"/>
    </row>
    <row r="73" spans="2:11" ht="21.6" thickBot="1" x14ac:dyDescent="0.45">
      <c r="B73" s="65" t="s">
        <v>64</v>
      </c>
      <c r="D73" s="152" t="s">
        <v>65</v>
      </c>
      <c r="E73" s="153"/>
      <c r="F73" s="154"/>
      <c r="I73" s="155" t="s">
        <v>66</v>
      </c>
      <c r="J73" s="156"/>
      <c r="K73" s="157"/>
    </row>
    <row r="74" spans="2:11" x14ac:dyDescent="0.35">
      <c r="G74" s="18"/>
    </row>
    <row r="75" spans="2:11" x14ac:dyDescent="0.35">
      <c r="G75" s="18"/>
    </row>
    <row r="76" spans="2:11" x14ac:dyDescent="0.35">
      <c r="G76" s="18"/>
    </row>
    <row r="77" spans="2:11" x14ac:dyDescent="0.35">
      <c r="G77" s="18"/>
    </row>
    <row r="78" spans="2:11" x14ac:dyDescent="0.35">
      <c r="B78" s="18"/>
      <c r="C78" s="18"/>
      <c r="D78" s="18"/>
      <c r="E78" s="18"/>
      <c r="F78" s="18"/>
      <c r="G78" s="18"/>
    </row>
    <row r="106" spans="7:7" x14ac:dyDescent="0.35">
      <c r="G106" s="18"/>
    </row>
    <row r="107" spans="7:7" x14ac:dyDescent="0.35">
      <c r="G107" s="18"/>
    </row>
    <row r="108" spans="7:7" x14ac:dyDescent="0.35">
      <c r="G108" s="18"/>
    </row>
    <row r="109" spans="7:7" x14ac:dyDescent="0.35">
      <c r="G109" s="18"/>
    </row>
    <row r="110" spans="7:7" x14ac:dyDescent="0.35">
      <c r="G110" s="18"/>
    </row>
    <row r="111" spans="7:7" x14ac:dyDescent="0.35">
      <c r="G111" s="18"/>
    </row>
    <row r="112" spans="7:7" x14ac:dyDescent="0.35">
      <c r="G112" s="18"/>
    </row>
    <row r="113" spans="7:7" x14ac:dyDescent="0.35">
      <c r="G113" s="18"/>
    </row>
    <row r="114" spans="7:7" x14ac:dyDescent="0.35">
      <c r="G114" s="18"/>
    </row>
    <row r="115" spans="7:7" x14ac:dyDescent="0.35">
      <c r="G115" s="18"/>
    </row>
    <row r="116" spans="7:7" x14ac:dyDescent="0.35">
      <c r="G116" s="18"/>
    </row>
    <row r="117" spans="7:7" x14ac:dyDescent="0.35">
      <c r="G117" s="18"/>
    </row>
    <row r="118" spans="7:7" x14ac:dyDescent="0.35">
      <c r="G118" s="18"/>
    </row>
    <row r="119" spans="7:7" x14ac:dyDescent="0.35">
      <c r="G119" s="18"/>
    </row>
    <row r="120" spans="7:7" x14ac:dyDescent="0.35">
      <c r="G120" s="18"/>
    </row>
    <row r="121" spans="7:7" x14ac:dyDescent="0.35">
      <c r="G121" s="18"/>
    </row>
    <row r="123" spans="7:7" x14ac:dyDescent="0.35">
      <c r="G123" s="18"/>
    </row>
    <row r="124" spans="7:7" x14ac:dyDescent="0.35">
      <c r="G124" s="18"/>
    </row>
    <row r="128" spans="7:7" x14ac:dyDescent="0.35">
      <c r="G128" s="18"/>
    </row>
    <row r="129" spans="7:7" x14ac:dyDescent="0.35">
      <c r="G129" s="18"/>
    </row>
    <row r="130" spans="7:7" x14ac:dyDescent="0.35">
      <c r="G130" s="18"/>
    </row>
    <row r="131" spans="7:7" x14ac:dyDescent="0.35">
      <c r="G131" s="18"/>
    </row>
    <row r="132" spans="7:7" x14ac:dyDescent="0.35">
      <c r="G132" s="18"/>
    </row>
    <row r="133" spans="7:7" x14ac:dyDescent="0.35">
      <c r="G133" s="18"/>
    </row>
    <row r="134" spans="7:7" x14ac:dyDescent="0.35">
      <c r="G134" s="18"/>
    </row>
    <row r="135" spans="7:7" x14ac:dyDescent="0.35">
      <c r="G135" s="18"/>
    </row>
    <row r="136" spans="7:7" x14ac:dyDescent="0.35">
      <c r="G136" s="18"/>
    </row>
    <row r="137" spans="7:7" x14ac:dyDescent="0.35">
      <c r="G137" s="18"/>
    </row>
    <row r="138" spans="7:7" x14ac:dyDescent="0.35">
      <c r="G138" s="18"/>
    </row>
    <row r="139" spans="7:7" x14ac:dyDescent="0.35">
      <c r="G139" s="18"/>
    </row>
    <row r="140" spans="7:7" x14ac:dyDescent="0.35">
      <c r="G140" s="18"/>
    </row>
    <row r="141" spans="7:7" x14ac:dyDescent="0.35">
      <c r="G141" s="18"/>
    </row>
    <row r="142" spans="7:7" x14ac:dyDescent="0.35">
      <c r="G142" s="18"/>
    </row>
    <row r="143" spans="7:7" x14ac:dyDescent="0.35">
      <c r="G143" s="18"/>
    </row>
    <row r="144" spans="7:7" x14ac:dyDescent="0.35">
      <c r="G144" s="18"/>
    </row>
    <row r="147" spans="7:7" x14ac:dyDescent="0.35">
      <c r="G147" s="26"/>
    </row>
    <row r="163" spans="7:7" x14ac:dyDescent="0.35">
      <c r="G163" s="18"/>
    </row>
    <row r="164" spans="7:7" x14ac:dyDescent="0.35">
      <c r="G164" s="18"/>
    </row>
    <row r="165" spans="7:7" x14ac:dyDescent="0.35">
      <c r="G165" s="18"/>
    </row>
    <row r="166" spans="7:7" x14ac:dyDescent="0.35">
      <c r="G166" s="18"/>
    </row>
  </sheetData>
  <sheetProtection algorithmName="SHA-512" hashValue="VBDt9XylS1tzMJ2E2JtzkVYNaVEfwUdH3qObZRSzwQAvwECV2qBkk2FzYlcE4mbi31z/VjmM45wZtiyEwMYb8w==" saltValue="M95zc2i6AleSOtSmU+TVkA==" spinCount="100000" sheet="1" selectLockedCells="1"/>
  <mergeCells count="84">
    <mergeCell ref="B25:D25"/>
    <mergeCell ref="B26:D26"/>
    <mergeCell ref="B27:D27"/>
    <mergeCell ref="B29:D29"/>
    <mergeCell ref="E25:F25"/>
    <mergeCell ref="E26:F26"/>
    <mergeCell ref="E27:F27"/>
    <mergeCell ref="E19:F19"/>
    <mergeCell ref="E22:F22"/>
    <mergeCell ref="J45:K45"/>
    <mergeCell ref="J46:K46"/>
    <mergeCell ref="J44:K44"/>
    <mergeCell ref="J41:K41"/>
    <mergeCell ref="J37:K37"/>
    <mergeCell ref="J43:K43"/>
    <mergeCell ref="D39:E39"/>
    <mergeCell ref="B21:D21"/>
    <mergeCell ref="B23:D23"/>
    <mergeCell ref="B22:D22"/>
    <mergeCell ref="B20:D20"/>
    <mergeCell ref="B19:D19"/>
    <mergeCell ref="B24:D24"/>
    <mergeCell ref="E24:F24"/>
    <mergeCell ref="E13:F13"/>
    <mergeCell ref="B13:D13"/>
    <mergeCell ref="E14:F14"/>
    <mergeCell ref="E15:F15"/>
    <mergeCell ref="E17:F17"/>
    <mergeCell ref="B17:D17"/>
    <mergeCell ref="B14:D14"/>
    <mergeCell ref="B15:D15"/>
    <mergeCell ref="B16:D16"/>
    <mergeCell ref="E16:F16"/>
    <mergeCell ref="E18:F18"/>
    <mergeCell ref="E21:F21"/>
    <mergeCell ref="E23:F23"/>
    <mergeCell ref="B18:D18"/>
    <mergeCell ref="D73:F73"/>
    <mergeCell ref="I73:K73"/>
    <mergeCell ref="B71:K71"/>
    <mergeCell ref="H62:K63"/>
    <mergeCell ref="J48:K48"/>
    <mergeCell ref="C50:D50"/>
    <mergeCell ref="C52:D52"/>
    <mergeCell ref="J56:K56"/>
    <mergeCell ref="J49:K49"/>
    <mergeCell ref="B61:B63"/>
    <mergeCell ref="J57:K57"/>
    <mergeCell ref="J54:K54"/>
    <mergeCell ref="J50:K50"/>
    <mergeCell ref="J52:K52"/>
    <mergeCell ref="J59:K59"/>
    <mergeCell ref="J60:K60"/>
    <mergeCell ref="B2:K3"/>
    <mergeCell ref="B5:E5"/>
    <mergeCell ref="H7:I8"/>
    <mergeCell ref="H11:I12"/>
    <mergeCell ref="H5:K5"/>
    <mergeCell ref="B7:C7"/>
    <mergeCell ref="D7:F7"/>
    <mergeCell ref="E9:F9"/>
    <mergeCell ref="E10:F10"/>
    <mergeCell ref="E11:F11"/>
    <mergeCell ref="B9:D9"/>
    <mergeCell ref="B10:D10"/>
    <mergeCell ref="B11:D11"/>
    <mergeCell ref="B12:D12"/>
    <mergeCell ref="E12:F12"/>
    <mergeCell ref="J39:K39"/>
    <mergeCell ref="J42:K42"/>
    <mergeCell ref="J40:K40"/>
    <mergeCell ref="B28:D28"/>
    <mergeCell ref="E28:F28"/>
    <mergeCell ref="E29:F29"/>
    <mergeCell ref="J38:K38"/>
    <mergeCell ref="J36:K36"/>
    <mergeCell ref="B35:C35"/>
    <mergeCell ref="B36:C36"/>
    <mergeCell ref="J61:K61"/>
    <mergeCell ref="J55:K55"/>
    <mergeCell ref="J51:K51"/>
    <mergeCell ref="J53:K53"/>
    <mergeCell ref="J47:K47"/>
    <mergeCell ref="J58:K58"/>
  </mergeCells>
  <conditionalFormatting sqref="C48">
    <cfRule type="expression" dxfId="5" priority="33">
      <formula>$C$48=$O$33</formula>
    </cfRule>
    <cfRule type="expression" dxfId="4" priority="34">
      <formula>$C$48=$O$34</formula>
    </cfRule>
  </conditionalFormatting>
  <conditionalFormatting sqref="D39">
    <cfRule type="expression" dxfId="3" priority="35">
      <formula>$D$39=$O$37</formula>
    </cfRule>
  </conditionalFormatting>
  <conditionalFormatting sqref="C50">
    <cfRule type="expression" dxfId="2" priority="36">
      <formula>$C$50=$O$39</formula>
    </cfRule>
  </conditionalFormatting>
  <conditionalFormatting sqref="C52">
    <cfRule type="expression" dxfId="1" priority="37">
      <formula>$C$52=$O$52</formula>
    </cfRule>
  </conditionalFormatting>
  <conditionalFormatting sqref="E15:E16">
    <cfRule type="expression" dxfId="0" priority="38">
      <formula>$E$15&gt;$E$13*2</formula>
    </cfRule>
  </conditionalFormatting>
  <dataValidations count="13">
    <dataValidation type="whole" allowBlank="1" showInputMessage="1" showErrorMessage="1" sqref="E14">
      <formula1>1</formula1>
      <formula2>4</formula2>
    </dataValidation>
    <dataValidation type="whole" allowBlank="1" showInputMessage="1" showErrorMessage="1" sqref="E13">
      <formula1>1</formula1>
      <formula2>5</formula2>
    </dataValidation>
    <dataValidation type="list" allowBlank="1" showInputMessage="1" showErrorMessage="1" sqref="B36">
      <formula1>$O$10:$O$11</formula1>
    </dataValidation>
    <dataValidation type="list" allowBlank="1" showInputMessage="1" showErrorMessage="1" sqref="C42:C46">
      <formula1>$O$15:$O$16</formula1>
    </dataValidation>
    <dataValidation type="list" allowBlank="1" showInputMessage="1" showErrorMessage="1" sqref="E11">
      <formula1>$O$45:$O$49</formula1>
    </dataValidation>
    <dataValidation type="list" allowBlank="1" showInputMessage="1" showErrorMessage="1" sqref="E27">
      <formula1>$O$56:$O$58</formula1>
    </dataValidation>
    <dataValidation type="list" allowBlank="1" showInputMessage="1" showErrorMessage="1" sqref="E28 E25:E26 E29:F29">
      <formula1>$O$20:$O$21</formula1>
    </dataValidation>
    <dataValidation type="list" allowBlank="1" showInputMessage="1" showErrorMessage="1" sqref="D7">
      <formula1>$R$3:$R$5</formula1>
    </dataValidation>
    <dataValidation type="whole" allowBlank="1" showInputMessage="1" showErrorMessage="1" errorTitle="Неверное количество" error="Не более двух доводчиков на одну дверь." sqref="E15:E16">
      <formula1>0</formula1>
      <formula2>E13*2</formula2>
    </dataValidation>
    <dataValidation type="list" allowBlank="1" showInputMessage="1" showErrorMessage="1" sqref="E12:F12">
      <formula1>$R$8:$R$10</formula1>
    </dataValidation>
    <dataValidation type="list" operator="greaterThan" allowBlank="1" showInputMessage="1" showErrorMessage="1" sqref="E23:F24">
      <formula1>$R$12:$R$14</formula1>
    </dataValidation>
    <dataValidation type="whole" allowBlank="1" showInputMessage="1" showErrorMessage="1" errorTitle="Неверное значение" error="Введите значение от 0 до 2" sqref="F20 E21:E22">
      <formula1>0</formula1>
      <formula2>2</formula2>
    </dataValidation>
    <dataValidation type="whole" operator="greaterThan" allowBlank="1" showInputMessage="1" showErrorMessage="1" sqref="E17:E19">
      <formula1>-1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Nova</vt:lpstr>
      <vt:lpstr>Nova!Print_Area</vt:lpstr>
      <vt:lpstr>Nova!Область_печати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2023-08-18T10:14:41Z</dcterms:modified>
</cp:coreProperties>
</file>